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esktop\"/>
    </mc:Choice>
  </mc:AlternateContent>
  <bookViews>
    <workbookView xWindow="0" yWindow="0" windowWidth="14370" windowHeight="6735" tabRatio="802"/>
  </bookViews>
  <sheets>
    <sheet name="Tartalomjegyzék_2018" sheetId="70" r:id="rId1"/>
    <sheet name="1.Bev_kiad_kiemelt ei" sheetId="4" r:id="rId2"/>
    <sheet name="2.Bevételek_részletes" sheetId="31" r:id="rId3"/>
    <sheet name="2.Kiadások_részletes " sheetId="68" r:id="rId4"/>
    <sheet name="3. Gesz költségvetés" sheetId="45" r:id="rId5"/>
    <sheet name="4. Köt+önk_Önkori" sheetId="104" r:id="rId6"/>
    <sheet name="5. Köt+önk_PH" sheetId="97" r:id="rId7"/>
    <sheet name="6. Köt+önk_Szakorvosi" sheetId="98" r:id="rId8"/>
    <sheet name="7.Ligeti cseperedő Ovi" sheetId="108" r:id="rId9"/>
    <sheet name="8.Német nemzetiségi Ovi" sheetId="109" r:id="rId10"/>
    <sheet name="9.Művészetek Háza" sheetId="101" r:id="rId11"/>
    <sheet name="10.GESZ" sheetId="102" r:id="rId12"/>
    <sheet name="11. Bölcsöde" sheetId="103" r:id="rId13"/>
    <sheet name="12. Támogatási bevételek(B1,B2)" sheetId="87" r:id="rId14"/>
    <sheet name="13. Költségvetési támogatások" sheetId="90" r:id="rId15"/>
    <sheet name="14. Intézményi normatíva" sheetId="113" r:id="rId16"/>
    <sheet name="15. Működési bev. (B3,B4)" sheetId="6" r:id="rId17"/>
    <sheet name="16. Átvett pénze.(B6,B7)" sheetId="25" r:id="rId18"/>
    <sheet name="17. finanszírozás be_ki (B8,K9)" sheetId="23" r:id="rId19"/>
    <sheet name="18. Dologi kiadások cofog(K3)" sheetId="92" r:id="rId20"/>
    <sheet name="19. Dologi kiad.igazg. (K3)" sheetId="93" r:id="rId21"/>
    <sheet name="20. Ellátottak p.jutattás (K4)" sheetId="38" r:id="rId22"/>
    <sheet name="21. Pe. átad. és tám. (K5)" sheetId="39" r:id="rId23"/>
    <sheet name="22. Tartalékok (K512)" sheetId="41" r:id="rId24"/>
    <sheet name="23. Beruházás (K6)" sheetId="40" r:id="rId25"/>
    <sheet name="24. Felújítás (K7)" sheetId="88" r:id="rId26"/>
    <sheet name="25. Több éves elköt." sheetId="18" r:id="rId27"/>
    <sheet name="26.sz.létszám" sheetId="48" r:id="rId28"/>
    <sheet name="27. ktgv.mérleg" sheetId="91" r:id="rId29"/>
    <sheet name="28.eir.felh.ütemterv" sheetId="82" r:id="rId30"/>
    <sheet name="29.sz.finansz.ütemterv" sheetId="96" r:id="rId31"/>
    <sheet name="30.sz.közvetett tám." sheetId="107" r:id="rId32"/>
    <sheet name="31.sz.adósságszolgálat" sheetId="55" r:id="rId33"/>
    <sheet name="32. gördülő" sheetId="106" r:id="rId34"/>
    <sheet name="33. EU projekt" sheetId="11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24" hidden="1">'23. Beruházás (K6)'!$A$5:$H$38</definedName>
    <definedName name="_ftn1" localSheetId="31">'30.sz.közvetett tám.'!#REF!</definedName>
    <definedName name="_ftnref1" localSheetId="31">'30.sz.közvetett tám.'!$D$8</definedName>
    <definedName name="_pr232" localSheetId="26">'25. Több éves elköt.'!#REF!</definedName>
    <definedName name="_pr233" localSheetId="26">'25. Több éves elköt.'!#REF!</definedName>
    <definedName name="_pr234" localSheetId="26">'25. Több éves elköt.'!#REF!</definedName>
    <definedName name="_pr235" localSheetId="26">'25. Több éves elköt.'!#REF!</definedName>
    <definedName name="_pr236" localSheetId="26">'25. Több éves elköt.'!$A$18</definedName>
    <definedName name="_pr312" localSheetId="26">'25. Több éves elköt.'!#REF!</definedName>
    <definedName name="_pr313" localSheetId="26">'25. Több éves elköt.'!$A$3</definedName>
    <definedName name="_pr314" localSheetId="26">'25. Több éves elköt.'!#REF!</definedName>
    <definedName name="_pr315" localSheetId="26">'25. Több éves elköt.'!$A$12</definedName>
    <definedName name="a" localSheetId="11">#REF!</definedName>
    <definedName name="a" localSheetId="13">#REF!</definedName>
    <definedName name="a" localSheetId="14">#REF!</definedName>
    <definedName name="a" localSheetId="15">#REF!</definedName>
    <definedName name="a" localSheetId="2">#REF!</definedName>
    <definedName name="a" localSheetId="3">#REF!</definedName>
    <definedName name="a" localSheetId="28">#REF!</definedName>
    <definedName name="a" localSheetId="30">#REF!</definedName>
    <definedName name="a" localSheetId="4">#REF!</definedName>
    <definedName name="a" localSheetId="31">#REF!</definedName>
    <definedName name="a" localSheetId="3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á" localSheetId="11">#REF!</definedName>
    <definedName name="á" localSheetId="13">#REF!</definedName>
    <definedName name="á" localSheetId="14">#REF!</definedName>
    <definedName name="á" localSheetId="15">#REF!</definedName>
    <definedName name="á" localSheetId="2">#REF!</definedName>
    <definedName name="á" localSheetId="3">#REF!</definedName>
    <definedName name="á" localSheetId="28">#REF!</definedName>
    <definedName name="á" localSheetId="30">#REF!</definedName>
    <definedName name="á" localSheetId="4">#REF!</definedName>
    <definedName name="á" localSheetId="31">#REF!</definedName>
    <definedName name="á" localSheetId="34">#REF!</definedName>
    <definedName name="á" localSheetId="5">#REF!</definedName>
    <definedName name="á" localSheetId="6">#REF!</definedName>
    <definedName name="á" localSheetId="7">#REF!</definedName>
    <definedName name="á" localSheetId="8">#REF!</definedName>
    <definedName name="á" localSheetId="9">#REF!</definedName>
    <definedName name="á" localSheetId="10">#REF!</definedName>
    <definedName name="á">#REF!</definedName>
    <definedName name="aa" localSheetId="11">#REF!</definedName>
    <definedName name="aa" localSheetId="13">#REF!</definedName>
    <definedName name="aa" localSheetId="14">#REF!</definedName>
    <definedName name="aa" localSheetId="15">#REF!</definedName>
    <definedName name="aa" localSheetId="2">#REF!</definedName>
    <definedName name="aa" localSheetId="3">#REF!</definedName>
    <definedName name="aa" localSheetId="28">#REF!</definedName>
    <definedName name="aa" localSheetId="30">#REF!</definedName>
    <definedName name="aa" localSheetId="4">#REF!</definedName>
    <definedName name="aa" localSheetId="31">#REF!</definedName>
    <definedName name="aa" localSheetId="3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áá" localSheetId="11">#REF!</definedName>
    <definedName name="áá" localSheetId="13">#REF!</definedName>
    <definedName name="áá" localSheetId="14">#REF!</definedName>
    <definedName name="áá" localSheetId="15">#REF!</definedName>
    <definedName name="áá" localSheetId="2">#REF!</definedName>
    <definedName name="áá" localSheetId="3">#REF!</definedName>
    <definedName name="áá" localSheetId="28">#REF!</definedName>
    <definedName name="áá" localSheetId="30">#REF!</definedName>
    <definedName name="áá" localSheetId="4">#REF!</definedName>
    <definedName name="áá" localSheetId="31">#REF!</definedName>
    <definedName name="áá" localSheetId="34">#REF!</definedName>
    <definedName name="áá" localSheetId="5">#REF!</definedName>
    <definedName name="áá" localSheetId="6">#REF!</definedName>
    <definedName name="áá" localSheetId="7">#REF!</definedName>
    <definedName name="áá" localSheetId="8">#REF!</definedName>
    <definedName name="áá" localSheetId="9">#REF!</definedName>
    <definedName name="áá" localSheetId="10">#REF!</definedName>
    <definedName name="áá">#REF!</definedName>
    <definedName name="aaa" localSheetId="11">#REF!</definedName>
    <definedName name="aaa" localSheetId="13">#REF!</definedName>
    <definedName name="aaa" localSheetId="14">#REF!</definedName>
    <definedName name="aaa" localSheetId="15">#REF!</definedName>
    <definedName name="aaa" localSheetId="2">#REF!</definedName>
    <definedName name="aaa" localSheetId="3">#REF!</definedName>
    <definedName name="aaa" localSheetId="28">#REF!</definedName>
    <definedName name="aaa" localSheetId="30">#REF!</definedName>
    <definedName name="aaa" localSheetId="4">#REF!</definedName>
    <definedName name="aaa" localSheetId="31">#REF!</definedName>
    <definedName name="aaa" localSheetId="3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>#REF!</definedName>
    <definedName name="ááá" localSheetId="11">#REF!</definedName>
    <definedName name="ááá" localSheetId="13">#REF!</definedName>
    <definedName name="ááá" localSheetId="14">#REF!</definedName>
    <definedName name="ááá" localSheetId="15">#REF!</definedName>
    <definedName name="ááá" localSheetId="2">#REF!</definedName>
    <definedName name="ááá" localSheetId="3">#REF!</definedName>
    <definedName name="ááá" localSheetId="28">#REF!</definedName>
    <definedName name="ááá" localSheetId="30">#REF!</definedName>
    <definedName name="ááá" localSheetId="4">#REF!</definedName>
    <definedName name="ááá" localSheetId="31">#REF!</definedName>
    <definedName name="ááá" localSheetId="34">#REF!</definedName>
    <definedName name="ááá" localSheetId="5">#REF!</definedName>
    <definedName name="ááá" localSheetId="6">#REF!</definedName>
    <definedName name="ááá" localSheetId="7">#REF!</definedName>
    <definedName name="ááá" localSheetId="8">#REF!</definedName>
    <definedName name="ááá" localSheetId="9">#REF!</definedName>
    <definedName name="ááá" localSheetId="10">#REF!</definedName>
    <definedName name="ááá">#REF!</definedName>
    <definedName name="aaaa" localSheetId="11">#REF!</definedName>
    <definedName name="aaaa" localSheetId="13">#REF!</definedName>
    <definedName name="aaaa" localSheetId="14">#REF!</definedName>
    <definedName name="aaaa" localSheetId="15">#REF!</definedName>
    <definedName name="aaaa" localSheetId="2">#REF!</definedName>
    <definedName name="aaaa" localSheetId="3">#REF!</definedName>
    <definedName name="aaaa" localSheetId="28">#REF!</definedName>
    <definedName name="aaaa" localSheetId="30">#REF!</definedName>
    <definedName name="aaaa" localSheetId="4">#REF!</definedName>
    <definedName name="aaaa" localSheetId="31">#REF!</definedName>
    <definedName name="aaaa" localSheetId="34">#REF!</definedName>
    <definedName name="aaaa" localSheetId="5">#REF!</definedName>
    <definedName name="aaaa" localSheetId="6">#REF!</definedName>
    <definedName name="aaaa" localSheetId="7">#REF!</definedName>
    <definedName name="aaaa" localSheetId="8">#REF!</definedName>
    <definedName name="aaaa" localSheetId="9">#REF!</definedName>
    <definedName name="aaaa" localSheetId="10">#REF!</definedName>
    <definedName name="aaaa">#REF!</definedName>
    <definedName name="áááá" localSheetId="11">#REF!</definedName>
    <definedName name="áááá" localSheetId="13">#REF!</definedName>
    <definedName name="áááá" localSheetId="14">#REF!</definedName>
    <definedName name="áááá" localSheetId="15">#REF!</definedName>
    <definedName name="áááá" localSheetId="2">#REF!</definedName>
    <definedName name="áááá" localSheetId="3">#REF!</definedName>
    <definedName name="áááá" localSheetId="28">#REF!</definedName>
    <definedName name="áááá" localSheetId="30">#REF!</definedName>
    <definedName name="áááá" localSheetId="4">#REF!</definedName>
    <definedName name="áááá" localSheetId="31">#REF!</definedName>
    <definedName name="áááá" localSheetId="34">#REF!</definedName>
    <definedName name="áááá" localSheetId="5">#REF!</definedName>
    <definedName name="áááá" localSheetId="6">#REF!</definedName>
    <definedName name="áááá" localSheetId="7">#REF!</definedName>
    <definedName name="áááá" localSheetId="8">#REF!</definedName>
    <definedName name="áááá" localSheetId="9">#REF!</definedName>
    <definedName name="áááá" localSheetId="10">#REF!</definedName>
    <definedName name="áááá">#REF!</definedName>
    <definedName name="aaaaa" localSheetId="11">#REF!</definedName>
    <definedName name="aaaaa" localSheetId="13">#REF!</definedName>
    <definedName name="aaaaa" localSheetId="14">#REF!</definedName>
    <definedName name="aaaaa" localSheetId="15">#REF!</definedName>
    <definedName name="aaaaa" localSheetId="2">#REF!</definedName>
    <definedName name="aaaaa" localSheetId="3">#REF!</definedName>
    <definedName name="aaaaa" localSheetId="28">#REF!</definedName>
    <definedName name="aaaaa" localSheetId="30">#REF!</definedName>
    <definedName name="aaaaa" localSheetId="4">#REF!</definedName>
    <definedName name="aaaaa" localSheetId="31">#REF!</definedName>
    <definedName name="aaaaa" localSheetId="34">#REF!</definedName>
    <definedName name="aaaaa" localSheetId="5">#REF!</definedName>
    <definedName name="aaaaa" localSheetId="6">#REF!</definedName>
    <definedName name="aaaaa" localSheetId="7">#REF!</definedName>
    <definedName name="aaaaa" localSheetId="8">#REF!</definedName>
    <definedName name="aaaaa" localSheetId="9">#REF!</definedName>
    <definedName name="aaaaa" localSheetId="10">#REF!</definedName>
    <definedName name="aaaaa">#REF!</definedName>
    <definedName name="ááááá" localSheetId="11">#REF!</definedName>
    <definedName name="ááááá" localSheetId="13">#REF!</definedName>
    <definedName name="ááááá" localSheetId="14">#REF!</definedName>
    <definedName name="ááááá" localSheetId="15">#REF!</definedName>
    <definedName name="ááááá" localSheetId="2">#REF!</definedName>
    <definedName name="ááááá" localSheetId="3">#REF!</definedName>
    <definedName name="ááááá" localSheetId="28">#REF!</definedName>
    <definedName name="ááááá" localSheetId="30">#REF!</definedName>
    <definedName name="ááááá" localSheetId="4">#REF!</definedName>
    <definedName name="ááááá" localSheetId="31">#REF!</definedName>
    <definedName name="ááááá" localSheetId="34">#REF!</definedName>
    <definedName name="ááááá" localSheetId="5">#REF!</definedName>
    <definedName name="ááááá" localSheetId="6">#REF!</definedName>
    <definedName name="ááááá" localSheetId="7">#REF!</definedName>
    <definedName name="ááááá" localSheetId="8">#REF!</definedName>
    <definedName name="ááááá" localSheetId="9">#REF!</definedName>
    <definedName name="ááááá" localSheetId="10">#REF!</definedName>
    <definedName name="ááááá">#REF!</definedName>
    <definedName name="aaaaaa" localSheetId="11">#REF!</definedName>
    <definedName name="aaaaaa" localSheetId="13">#REF!</definedName>
    <definedName name="aaaaaa" localSheetId="14">#REF!</definedName>
    <definedName name="aaaaaa" localSheetId="15">#REF!</definedName>
    <definedName name="aaaaaa" localSheetId="2">#REF!</definedName>
    <definedName name="aaaaaa" localSheetId="3">#REF!</definedName>
    <definedName name="aaaaaa" localSheetId="28">#REF!</definedName>
    <definedName name="aaaaaa" localSheetId="30">#REF!</definedName>
    <definedName name="aaaaaa" localSheetId="4">#REF!</definedName>
    <definedName name="aaaaaa" localSheetId="31">#REF!</definedName>
    <definedName name="aaaaaa" localSheetId="34">#REF!</definedName>
    <definedName name="aaaaaa" localSheetId="5">#REF!</definedName>
    <definedName name="aaaaaa" localSheetId="6">#REF!</definedName>
    <definedName name="aaaaaa" localSheetId="7">#REF!</definedName>
    <definedName name="aaaaaa" localSheetId="8">#REF!</definedName>
    <definedName name="aaaaaa" localSheetId="9">#REF!</definedName>
    <definedName name="aaaaaa" localSheetId="10">#REF!</definedName>
    <definedName name="aaaaaa">#REF!</definedName>
    <definedName name="áááááá" localSheetId="11">#REF!</definedName>
    <definedName name="áááááá" localSheetId="13">#REF!</definedName>
    <definedName name="áááááá" localSheetId="14">#REF!</definedName>
    <definedName name="áááááá" localSheetId="15">#REF!</definedName>
    <definedName name="áááááá" localSheetId="2">#REF!</definedName>
    <definedName name="áááááá" localSheetId="3">#REF!</definedName>
    <definedName name="áááááá" localSheetId="28">#REF!</definedName>
    <definedName name="áááááá" localSheetId="30">#REF!</definedName>
    <definedName name="áááááá" localSheetId="4">#REF!</definedName>
    <definedName name="áááááá" localSheetId="31">#REF!</definedName>
    <definedName name="áááááá" localSheetId="34">#REF!</definedName>
    <definedName name="áááááá" localSheetId="5">#REF!</definedName>
    <definedName name="áááááá" localSheetId="6">#REF!</definedName>
    <definedName name="áááááá" localSheetId="7">#REF!</definedName>
    <definedName name="áááááá" localSheetId="8">#REF!</definedName>
    <definedName name="áááááá" localSheetId="9">#REF!</definedName>
    <definedName name="áááááá" localSheetId="10">#REF!</definedName>
    <definedName name="áááááá">#REF!</definedName>
    <definedName name="aaaaaaaa" localSheetId="11">#REF!</definedName>
    <definedName name="aaaaaaaa" localSheetId="13">#REF!</definedName>
    <definedName name="aaaaaaaa" localSheetId="14">#REF!</definedName>
    <definedName name="aaaaaaaa" localSheetId="15">#REF!</definedName>
    <definedName name="aaaaaaaa" localSheetId="2">#REF!</definedName>
    <definedName name="aaaaaaaa" localSheetId="3">#REF!</definedName>
    <definedName name="aaaaaaaa" localSheetId="28">#REF!</definedName>
    <definedName name="aaaaaaaa" localSheetId="30">#REF!</definedName>
    <definedName name="aaaaaaaa" localSheetId="4">#REF!</definedName>
    <definedName name="aaaaaaaa" localSheetId="31">#REF!</definedName>
    <definedName name="aaaaaaaa" localSheetId="34">#REF!</definedName>
    <definedName name="aaaaaaaa" localSheetId="5">#REF!</definedName>
    <definedName name="aaaaaaaa" localSheetId="6">#REF!</definedName>
    <definedName name="aaaaaaaa" localSheetId="7">#REF!</definedName>
    <definedName name="aaaaaaaa" localSheetId="8">#REF!</definedName>
    <definedName name="aaaaaaaa" localSheetId="9">#REF!</definedName>
    <definedName name="aaaaaaaa" localSheetId="10">#REF!</definedName>
    <definedName name="aaaaaaaa">#REF!</definedName>
    <definedName name="áááááááá" localSheetId="11">#REF!</definedName>
    <definedName name="áááááááá" localSheetId="13">#REF!</definedName>
    <definedName name="áááááááá" localSheetId="14">#REF!</definedName>
    <definedName name="áááááááá" localSheetId="15">#REF!</definedName>
    <definedName name="áááááááá" localSheetId="2">#REF!</definedName>
    <definedName name="áááááááá" localSheetId="3">#REF!</definedName>
    <definedName name="áááááááá" localSheetId="28">#REF!</definedName>
    <definedName name="áááááááá" localSheetId="30">#REF!</definedName>
    <definedName name="áááááááá" localSheetId="4">#REF!</definedName>
    <definedName name="áááááááá" localSheetId="31">#REF!</definedName>
    <definedName name="áááááááá" localSheetId="34">#REF!</definedName>
    <definedName name="áááááááá" localSheetId="5">#REF!</definedName>
    <definedName name="áááááááá" localSheetId="6">#REF!</definedName>
    <definedName name="áááááááá" localSheetId="7">#REF!</definedName>
    <definedName name="áááááááá" localSheetId="8">#REF!</definedName>
    <definedName name="áááááááá" localSheetId="9">#REF!</definedName>
    <definedName name="áááááááá" localSheetId="10">#REF!</definedName>
    <definedName name="áááááááá">#REF!</definedName>
    <definedName name="aaaaaaaaa" localSheetId="11">#REF!</definedName>
    <definedName name="aaaaaaaaa" localSheetId="13">#REF!</definedName>
    <definedName name="aaaaaaaaa" localSheetId="14">#REF!</definedName>
    <definedName name="aaaaaaaaa" localSheetId="15">#REF!</definedName>
    <definedName name="aaaaaaaaa" localSheetId="2">#REF!</definedName>
    <definedName name="aaaaaaaaa" localSheetId="3">#REF!</definedName>
    <definedName name="aaaaaaaaa" localSheetId="28">#REF!</definedName>
    <definedName name="aaaaaaaaa" localSheetId="30">#REF!</definedName>
    <definedName name="aaaaaaaaa" localSheetId="4">#REF!</definedName>
    <definedName name="aaaaaaaaa" localSheetId="31">#REF!</definedName>
    <definedName name="aaaaaaaaa" localSheetId="34">#REF!</definedName>
    <definedName name="aaaaaaaaa" localSheetId="5">#REF!</definedName>
    <definedName name="aaaaaaaaa" localSheetId="6">#REF!</definedName>
    <definedName name="aaaaaaaaa" localSheetId="7">#REF!</definedName>
    <definedName name="aaaaaaaaa" localSheetId="8">#REF!</definedName>
    <definedName name="aaaaaaaaa" localSheetId="9">#REF!</definedName>
    <definedName name="aaaaaaaaa" localSheetId="10">#REF!</definedName>
    <definedName name="aaaaaaaaa">#REF!</definedName>
    <definedName name="ááááááááá" localSheetId="11">#REF!</definedName>
    <definedName name="ááááááááá" localSheetId="13">#REF!</definedName>
    <definedName name="ááááááááá" localSheetId="14">#REF!</definedName>
    <definedName name="ááááááááá" localSheetId="15">#REF!</definedName>
    <definedName name="ááááááááá" localSheetId="2">#REF!</definedName>
    <definedName name="ááááááááá" localSheetId="3">#REF!</definedName>
    <definedName name="ááááááááá" localSheetId="28">#REF!</definedName>
    <definedName name="ááááááááá" localSheetId="30">#REF!</definedName>
    <definedName name="ááááááááá" localSheetId="4">#REF!</definedName>
    <definedName name="ááááááááá" localSheetId="31">#REF!</definedName>
    <definedName name="ááááááááá" localSheetId="34">#REF!</definedName>
    <definedName name="ááááááááá" localSheetId="5">#REF!</definedName>
    <definedName name="ááááááááá" localSheetId="6">#REF!</definedName>
    <definedName name="ááááááááá" localSheetId="7">#REF!</definedName>
    <definedName name="ááááááááá" localSheetId="8">#REF!</definedName>
    <definedName name="ááááááááá" localSheetId="9">#REF!</definedName>
    <definedName name="ááááááááá" localSheetId="10">#REF!</definedName>
    <definedName name="ááááááááá">#REF!</definedName>
    <definedName name="aaaaaaaaaaa" localSheetId="11">#REF!</definedName>
    <definedName name="aaaaaaaaaaa" localSheetId="13">#REF!</definedName>
    <definedName name="aaaaaaaaaaa" localSheetId="14">#REF!</definedName>
    <definedName name="aaaaaaaaaaa" localSheetId="15">#REF!</definedName>
    <definedName name="aaaaaaaaaaa" localSheetId="2">#REF!</definedName>
    <definedName name="aaaaaaaaaaa" localSheetId="3">#REF!</definedName>
    <definedName name="aaaaaaaaaaa" localSheetId="28">#REF!</definedName>
    <definedName name="aaaaaaaaaaa" localSheetId="30">#REF!</definedName>
    <definedName name="aaaaaaaaaaa" localSheetId="4">#REF!</definedName>
    <definedName name="aaaaaaaaaaa" localSheetId="31">#REF!</definedName>
    <definedName name="aaaaaaaaaaa" localSheetId="34">#REF!</definedName>
    <definedName name="aaaaaaaaaaa" localSheetId="5">#REF!</definedName>
    <definedName name="aaaaaaaaaaa" localSheetId="6">#REF!</definedName>
    <definedName name="aaaaaaaaaaa" localSheetId="7">#REF!</definedName>
    <definedName name="aaaaaaaaaaa" localSheetId="8">#REF!</definedName>
    <definedName name="aaaaaaaaaaa" localSheetId="9">#REF!</definedName>
    <definedName name="aaaaaaaaaaa" localSheetId="10">#REF!</definedName>
    <definedName name="aaaaaaaaaaa">#REF!</definedName>
    <definedName name="ááááááááááá" localSheetId="11">#REF!</definedName>
    <definedName name="ááááááááááá" localSheetId="13">#REF!</definedName>
    <definedName name="ááááááááááá" localSheetId="14">#REF!</definedName>
    <definedName name="ááááááááááá" localSheetId="15">#REF!</definedName>
    <definedName name="ááááááááááá" localSheetId="2">#REF!</definedName>
    <definedName name="ááááááááááá" localSheetId="3">#REF!</definedName>
    <definedName name="ááááááááááá" localSheetId="28">#REF!</definedName>
    <definedName name="ááááááááááá" localSheetId="30">#REF!</definedName>
    <definedName name="ááááááááááá" localSheetId="4">#REF!</definedName>
    <definedName name="ááááááááááá" localSheetId="31">#REF!</definedName>
    <definedName name="ááááááááááá" localSheetId="34">#REF!</definedName>
    <definedName name="ááááááááááá" localSheetId="5">#REF!</definedName>
    <definedName name="ááááááááááá" localSheetId="6">#REF!</definedName>
    <definedName name="ááááááááááá" localSheetId="7">#REF!</definedName>
    <definedName name="ááááááááááá" localSheetId="8">#REF!</definedName>
    <definedName name="ááááááááááá" localSheetId="9">#REF!</definedName>
    <definedName name="ááááááááááá" localSheetId="10">#REF!</definedName>
    <definedName name="ááááááááááá">#REF!</definedName>
    <definedName name="ááááááááááááááá" localSheetId="11">#REF!</definedName>
    <definedName name="ááááááááááááááá" localSheetId="13">#REF!</definedName>
    <definedName name="ááááááááááááááá" localSheetId="14">#REF!</definedName>
    <definedName name="ááááááááááááááá" localSheetId="15">#REF!</definedName>
    <definedName name="ááááááááááááááá" localSheetId="2">#REF!</definedName>
    <definedName name="ááááááááááááááá" localSheetId="3">#REF!</definedName>
    <definedName name="ááááááááááááááá" localSheetId="28">#REF!</definedName>
    <definedName name="ááááááááááááááá" localSheetId="30">#REF!</definedName>
    <definedName name="ááááááááááááááá" localSheetId="4">#REF!</definedName>
    <definedName name="ááááááááááááááá" localSheetId="31">#REF!</definedName>
    <definedName name="ááááááááááááááá" localSheetId="34">#REF!</definedName>
    <definedName name="ááááááááááááááá" localSheetId="5">#REF!</definedName>
    <definedName name="ááááááááááááááá" localSheetId="6">#REF!</definedName>
    <definedName name="ááááááááááááááá" localSheetId="7">#REF!</definedName>
    <definedName name="ááááááááááááááá" localSheetId="8">#REF!</definedName>
    <definedName name="ááááááááááááááá" localSheetId="9">#REF!</definedName>
    <definedName name="ááááááááááááááá" localSheetId="10">#REF!</definedName>
    <definedName name="ááááááááááááááá">#REF!</definedName>
    <definedName name="áááááááááááááááááá" localSheetId="11">#REF!</definedName>
    <definedName name="áááááááááááááááááá" localSheetId="13">#REF!</definedName>
    <definedName name="áááááááááááááááááá" localSheetId="14">#REF!</definedName>
    <definedName name="áááááááááááááááááá" localSheetId="15">#REF!</definedName>
    <definedName name="áááááááááááááááááá" localSheetId="2">#REF!</definedName>
    <definedName name="áááááááááááááááááá" localSheetId="3">#REF!</definedName>
    <definedName name="áááááááááááááááááá" localSheetId="28">#REF!</definedName>
    <definedName name="áááááááááááááááááá" localSheetId="30">#REF!</definedName>
    <definedName name="áááááááááááááááááá" localSheetId="4">#REF!</definedName>
    <definedName name="áááááááááááááááááá" localSheetId="31">#REF!</definedName>
    <definedName name="áááááááááááááááááá" localSheetId="34">#REF!</definedName>
    <definedName name="áááááááááááááááááá" localSheetId="5">#REF!</definedName>
    <definedName name="áááááááááááááááááá" localSheetId="6">#REF!</definedName>
    <definedName name="áááááááááááááááááá" localSheetId="7">#REF!</definedName>
    <definedName name="áááááááááááááááááá" localSheetId="8">#REF!</definedName>
    <definedName name="áááááááááááááááááá" localSheetId="9">#REF!</definedName>
    <definedName name="áááááááááááááááááá" localSheetId="10">#REF!</definedName>
    <definedName name="áááááááááááááááááá">#REF!</definedName>
    <definedName name="aaaaaaaaaaaaaaaaaaa" localSheetId="11">#REF!</definedName>
    <definedName name="aaaaaaaaaaaaaaaaaaa" localSheetId="13">#REF!</definedName>
    <definedName name="aaaaaaaaaaaaaaaaaaa" localSheetId="14">#REF!</definedName>
    <definedName name="aaaaaaaaaaaaaaaaaaa" localSheetId="15">#REF!</definedName>
    <definedName name="aaaaaaaaaaaaaaaaaaa" localSheetId="2">#REF!</definedName>
    <definedName name="aaaaaaaaaaaaaaaaaaa" localSheetId="3">#REF!</definedName>
    <definedName name="aaaaaaaaaaaaaaaaaaa" localSheetId="28">#REF!</definedName>
    <definedName name="aaaaaaaaaaaaaaaaaaa" localSheetId="30">#REF!</definedName>
    <definedName name="aaaaaaaaaaaaaaaaaaa" localSheetId="4">#REF!</definedName>
    <definedName name="aaaaaaaaaaaaaaaaaaa" localSheetId="31">#REF!</definedName>
    <definedName name="aaaaaaaaaaaaaaaaaaa" localSheetId="34">#REF!</definedName>
    <definedName name="aaaaaaaaaaaaaaaaaaa" localSheetId="5">#REF!</definedName>
    <definedName name="aaaaaaaaaaaaaaaaaaa" localSheetId="6">#REF!</definedName>
    <definedName name="aaaaaaaaaaaaaaaaaaa" localSheetId="7">#REF!</definedName>
    <definedName name="aaaaaaaaaaaaaaaaaaa" localSheetId="8">#REF!</definedName>
    <definedName name="aaaaaaaaaaaaaaaaaaa" localSheetId="9">#REF!</definedName>
    <definedName name="aaaaaaaaaaaaaaaaaaa" localSheetId="10">#REF!</definedName>
    <definedName name="aaaaaaaaaaaaaaaaaaa">#REF!</definedName>
    <definedName name="ááááááááááááááááááááááááááá" localSheetId="11">#REF!</definedName>
    <definedName name="ááááááááááááááááááááááááááá" localSheetId="13">#REF!</definedName>
    <definedName name="ááááááááááááááááááááááááááá" localSheetId="14">#REF!</definedName>
    <definedName name="ááááááááááááááááááááááááááá" localSheetId="15">#REF!</definedName>
    <definedName name="ááááááááááááááááááááááááááá" localSheetId="2">#REF!</definedName>
    <definedName name="ááááááááááááááááááááááááááá" localSheetId="3">#REF!</definedName>
    <definedName name="ááááááááááááááááááááááááááá" localSheetId="28">#REF!</definedName>
    <definedName name="ááááááááááááááááááááááááááá" localSheetId="30">#REF!</definedName>
    <definedName name="ááááááááááááááááááááááááááá" localSheetId="4">#REF!</definedName>
    <definedName name="ááááááááááááááááááááááááááá" localSheetId="31">#REF!</definedName>
    <definedName name="ááááááááááááááááááááááááááá" localSheetId="34">#REF!</definedName>
    <definedName name="ááááááááááááááááááááááááááá" localSheetId="5">#REF!</definedName>
    <definedName name="ááááááááááááááááááááááááááá" localSheetId="6">#REF!</definedName>
    <definedName name="ááááááááááááááááááááááááááá" localSheetId="7">#REF!</definedName>
    <definedName name="ááááááááááááááááááááááááááá" localSheetId="8">#REF!</definedName>
    <definedName name="ááááááááááááááááááááááááááá" localSheetId="9">#REF!</definedName>
    <definedName name="ááááááááááááááááááááááááááá" localSheetId="10">#REF!</definedName>
    <definedName name="ááááááááááááááááááááááááááá">#REF!</definedName>
    <definedName name="Áll.norm." localSheetId="11">#REF!</definedName>
    <definedName name="Áll.norm." localSheetId="13">#REF!</definedName>
    <definedName name="Áll.norm." localSheetId="14">#REF!</definedName>
    <definedName name="Áll.norm." localSheetId="15">#REF!</definedName>
    <definedName name="Áll.norm." localSheetId="2">#REF!</definedName>
    <definedName name="Áll.norm." localSheetId="3">#REF!</definedName>
    <definedName name="Áll.norm." localSheetId="27">#REF!</definedName>
    <definedName name="Áll.norm." localSheetId="28">#REF!</definedName>
    <definedName name="Áll.norm." localSheetId="29">#REF!</definedName>
    <definedName name="Áll.norm." localSheetId="30">#REF!</definedName>
    <definedName name="Áll.norm." localSheetId="4">#REF!</definedName>
    <definedName name="Áll.norm." localSheetId="31">#REF!</definedName>
    <definedName name="Áll.norm." localSheetId="32">#REF!</definedName>
    <definedName name="Áll.norm." localSheetId="34">#REF!</definedName>
    <definedName name="Áll.norm." localSheetId="5">#REF!</definedName>
    <definedName name="Áll.norm." localSheetId="6">#REF!</definedName>
    <definedName name="Áll.norm." localSheetId="7">#REF!</definedName>
    <definedName name="Áll.norm." localSheetId="8">#REF!</definedName>
    <definedName name="Áll.norm." localSheetId="9">#REF!</definedName>
    <definedName name="Áll.norm." localSheetId="10">#REF!</definedName>
    <definedName name="Áll.norm." localSheetId="0">#N/A</definedName>
    <definedName name="Áll.norm.">#REF!</definedName>
    <definedName name="Átvett" localSheetId="11">#REF!</definedName>
    <definedName name="Átvett" localSheetId="13">#REF!</definedName>
    <definedName name="Átvett" localSheetId="14">#REF!</definedName>
    <definedName name="Átvett" localSheetId="15">#REF!</definedName>
    <definedName name="Átvett" localSheetId="2">#REF!</definedName>
    <definedName name="Átvett" localSheetId="3">#REF!</definedName>
    <definedName name="Átvett" localSheetId="27">#REF!</definedName>
    <definedName name="Átvett" localSheetId="28">#REF!</definedName>
    <definedName name="Átvett" localSheetId="29">#REF!</definedName>
    <definedName name="Átvett" localSheetId="30">#REF!</definedName>
    <definedName name="Átvett" localSheetId="4">#REF!</definedName>
    <definedName name="Átvett" localSheetId="31">#REF!</definedName>
    <definedName name="Átvett" localSheetId="32">#REF!</definedName>
    <definedName name="Átvett" localSheetId="34">#REF!</definedName>
    <definedName name="Átvett" localSheetId="5">#REF!</definedName>
    <definedName name="Átvett" localSheetId="6">#REF!</definedName>
    <definedName name="Átvett" localSheetId="7">#REF!</definedName>
    <definedName name="Átvett" localSheetId="8">#REF!</definedName>
    <definedName name="Átvett" localSheetId="9">#REF!</definedName>
    <definedName name="Átvett" localSheetId="10">#REF!</definedName>
    <definedName name="Átvett" localSheetId="0">#N/A</definedName>
    <definedName name="Átvett">#REF!</definedName>
    <definedName name="Bemutatás" localSheetId="11">#REF!</definedName>
    <definedName name="Bemutatás" localSheetId="13">#REF!</definedName>
    <definedName name="Bemutatás" localSheetId="14">#REF!</definedName>
    <definedName name="Bemutatás" localSheetId="15">#REF!</definedName>
    <definedName name="Bemutatás" localSheetId="2">#REF!</definedName>
    <definedName name="Bemutatás" localSheetId="3">#REF!</definedName>
    <definedName name="Bemutatás" localSheetId="27">#REF!</definedName>
    <definedName name="Bemutatás" localSheetId="28">#REF!</definedName>
    <definedName name="Bemutatás" localSheetId="29">#REF!</definedName>
    <definedName name="Bemutatás" localSheetId="30">#REF!</definedName>
    <definedName name="Bemutatás" localSheetId="4">#REF!</definedName>
    <definedName name="Bemutatás" localSheetId="31">#REF!</definedName>
    <definedName name="Bemutatás" localSheetId="32">#REF!</definedName>
    <definedName name="Bemutatás" localSheetId="34">#REF!</definedName>
    <definedName name="Bemutatás" localSheetId="5">#REF!</definedName>
    <definedName name="Bemutatás" localSheetId="6">#REF!</definedName>
    <definedName name="Bemutatás" localSheetId="7">#REF!</definedName>
    <definedName name="Bemutatás" localSheetId="8">#REF!</definedName>
    <definedName name="Bemutatás" localSheetId="9">#REF!</definedName>
    <definedName name="Bemutatás" localSheetId="10">#REF!</definedName>
    <definedName name="Bemutatás" localSheetId="0">#REF!</definedName>
    <definedName name="Bemutatás">#REF!</definedName>
    <definedName name="civilek" localSheetId="14">#REF!</definedName>
    <definedName name="civilek" localSheetId="15">#REF!</definedName>
    <definedName name="civilek" localSheetId="28">#REF!</definedName>
    <definedName name="civilek" localSheetId="30">#REF!</definedName>
    <definedName name="civilek" localSheetId="31">#REF!</definedName>
    <definedName name="civilek" localSheetId="34">#REF!</definedName>
    <definedName name="civilek" localSheetId="5">#REF!</definedName>
    <definedName name="civilek" localSheetId="8">#REF!</definedName>
    <definedName name="civilek" localSheetId="9">#REF!</definedName>
    <definedName name="civilek">#REF!</definedName>
    <definedName name="elk" localSheetId="14">#REF!</definedName>
    <definedName name="elk" localSheetId="15">#REF!</definedName>
    <definedName name="elk" localSheetId="28">#REF!</definedName>
    <definedName name="elk" localSheetId="30">#REF!</definedName>
    <definedName name="elk" localSheetId="31">#REF!</definedName>
    <definedName name="elk" localSheetId="34">#REF!</definedName>
    <definedName name="elk" localSheetId="5">#REF!</definedName>
    <definedName name="elk" localSheetId="8">#REF!</definedName>
    <definedName name="elk" localSheetId="9">#REF!</definedName>
    <definedName name="elk">#REF!</definedName>
    <definedName name="elköt." localSheetId="11">#REF!</definedName>
    <definedName name="elköt." localSheetId="13">#REF!</definedName>
    <definedName name="elköt." localSheetId="14">#REF!</definedName>
    <definedName name="elköt." localSheetId="15">#REF!</definedName>
    <definedName name="elköt." localSheetId="2">#REF!</definedName>
    <definedName name="elköt." localSheetId="3">#REF!</definedName>
    <definedName name="elköt." localSheetId="27">#REF!</definedName>
    <definedName name="elköt." localSheetId="28">#REF!</definedName>
    <definedName name="elköt." localSheetId="29">#REF!</definedName>
    <definedName name="elköt." localSheetId="30">#REF!</definedName>
    <definedName name="elköt." localSheetId="4">#REF!</definedName>
    <definedName name="elköt." localSheetId="31">#REF!</definedName>
    <definedName name="elköt." localSheetId="32">#REF!</definedName>
    <definedName name="elköt." localSheetId="34">#REF!</definedName>
    <definedName name="elköt." localSheetId="5">#REF!</definedName>
    <definedName name="elköt." localSheetId="6">#REF!</definedName>
    <definedName name="elköt." localSheetId="7">#REF!</definedName>
    <definedName name="elköt." localSheetId="8">#REF!</definedName>
    <definedName name="elköt." localSheetId="9">#REF!</definedName>
    <definedName name="elköt." localSheetId="10">#REF!</definedName>
    <definedName name="elköt." localSheetId="0">#REF!</definedName>
    <definedName name="elköt.">#REF!</definedName>
    <definedName name="Elkötelezettség" localSheetId="14">[1]PolgármesteriHiv_szakf__3_m__!$A$1:$E$31</definedName>
    <definedName name="Elkötelezettség" localSheetId="15">[1]PolgármesteriHiv_szakf__3_m__!$A$1:$E$31</definedName>
    <definedName name="Elkötelezettség" localSheetId="28">[1]PolgármesteriHiv_szakf__3_m__!$A$1:$E$31</definedName>
    <definedName name="Elkötelezettség" localSheetId="30">[1]PolgármesteriHiv_szakf__3_m__!$A$1:$E$31</definedName>
    <definedName name="Elkötelezettség" localSheetId="31">[1]PolgármesteriHiv_szakf__3_m__!$A$1:$E$31</definedName>
    <definedName name="Elkötelezettség" localSheetId="33">[1]PolgármesteriHiv_szakf__3_m__!$A$1:$E$31</definedName>
    <definedName name="Elkötelezettség" localSheetId="0">[1]PolgármesteriHiv_szakf__3_m__!$A$1:$E$31</definedName>
    <definedName name="Elkötelezettség">[1]PolgármesteriHiv_szakf__3_m__!$A$1:$E$31</definedName>
    <definedName name="Elkötelezettségek" localSheetId="11">#REF!</definedName>
    <definedName name="Elkötelezettségek" localSheetId="13">#REF!</definedName>
    <definedName name="Elkötelezettségek" localSheetId="14">#REF!</definedName>
    <definedName name="Elkötelezettségek" localSheetId="15">#REF!</definedName>
    <definedName name="Elkötelezettségek" localSheetId="2">#REF!</definedName>
    <definedName name="Elkötelezettségek" localSheetId="3">#REF!</definedName>
    <definedName name="Elkötelezettségek" localSheetId="27">#REF!</definedName>
    <definedName name="Elkötelezettségek" localSheetId="28">#REF!</definedName>
    <definedName name="Elkötelezettségek" localSheetId="29">#REF!</definedName>
    <definedName name="Elkötelezettségek" localSheetId="30">#REF!</definedName>
    <definedName name="Elkötelezettségek" localSheetId="4">#REF!</definedName>
    <definedName name="Elkötelezettségek" localSheetId="31">#REF!</definedName>
    <definedName name="Elkötelezettségek" localSheetId="32">#REF!</definedName>
    <definedName name="Elkötelezettségek" localSheetId="34">#REF!</definedName>
    <definedName name="Elkötelezettségek" localSheetId="5">#REF!</definedName>
    <definedName name="Elkötelezettségek" localSheetId="6">#REF!</definedName>
    <definedName name="Elkötelezettségek" localSheetId="7">#REF!</definedName>
    <definedName name="Elkötelezettségek" localSheetId="8">#REF!</definedName>
    <definedName name="Elkötelezettségek" localSheetId="9">#REF!</definedName>
    <definedName name="Elkötelezettségek" localSheetId="10">#REF!</definedName>
    <definedName name="Elkötelezettségek" localSheetId="0">#REF!</definedName>
    <definedName name="Elkötelezettségek">#REF!</definedName>
    <definedName name="Fejl.c.elköt." localSheetId="14">[2]PolgármesteriHiv_szakf__3_m__!$A$1:$E$31</definedName>
    <definedName name="Fejl.c.elköt." localSheetId="15">[2]PolgármesteriHiv_szakf__3_m__!$A$1:$E$31</definedName>
    <definedName name="Fejl.c.elköt." localSheetId="28">[2]PolgármesteriHiv_szakf__3_m__!$A$1:$E$31</definedName>
    <definedName name="Fejl.c.elköt." localSheetId="30">[2]PolgármesteriHiv_szakf__3_m__!$A$1:$E$31</definedName>
    <definedName name="Fejl.c.elköt." localSheetId="31">[2]PolgármesteriHiv_szakf__3_m__!$A$1:$E$31</definedName>
    <definedName name="Fejl.c.elköt." localSheetId="33">[2]PolgármesteriHiv_szakf__3_m__!$A$1:$E$31</definedName>
    <definedName name="Fejl.c.elköt." localSheetId="0">[2]PolgármesteriHiv_szakf__3_m__!$A$1:$E$31</definedName>
    <definedName name="Fejl.c.elköt.">[2]PolgármesteriHiv_szakf__3_m__!$A$1:$E$31</definedName>
    <definedName name="Fejl.elköt." localSheetId="11">#REF!</definedName>
    <definedName name="Fejl.elköt." localSheetId="13">#REF!</definedName>
    <definedName name="Fejl.elköt." localSheetId="14">#REF!</definedName>
    <definedName name="Fejl.elköt." localSheetId="15">#REF!</definedName>
    <definedName name="Fejl.elköt." localSheetId="2">#REF!</definedName>
    <definedName name="Fejl.elköt." localSheetId="3">#REF!</definedName>
    <definedName name="Fejl.elköt." localSheetId="27">#REF!</definedName>
    <definedName name="Fejl.elköt." localSheetId="28">#REF!</definedName>
    <definedName name="Fejl.elköt." localSheetId="29">#REF!</definedName>
    <definedName name="Fejl.elköt." localSheetId="30">#REF!</definedName>
    <definedName name="Fejl.elköt." localSheetId="4">#REF!</definedName>
    <definedName name="Fejl.elköt." localSheetId="31">#REF!</definedName>
    <definedName name="Fejl.elköt." localSheetId="32">#REF!</definedName>
    <definedName name="Fejl.elköt." localSheetId="34">#REF!</definedName>
    <definedName name="Fejl.elköt." localSheetId="5">#REF!</definedName>
    <definedName name="Fejl.elköt." localSheetId="6">#REF!</definedName>
    <definedName name="Fejl.elköt." localSheetId="7">#REF!</definedName>
    <definedName name="Fejl.elköt." localSheetId="8">#REF!</definedName>
    <definedName name="Fejl.elköt." localSheetId="9">#REF!</definedName>
    <definedName name="Fejl.elköt." localSheetId="10">#REF!</definedName>
    <definedName name="Fejl.elköt." localSheetId="0">#N/A</definedName>
    <definedName name="Fejl.elköt.">#REF!</definedName>
    <definedName name="fejlesztés" localSheetId="14">#REF!</definedName>
    <definedName name="fejlesztés" localSheetId="15">#REF!</definedName>
    <definedName name="fejlesztés" localSheetId="28">#REF!</definedName>
    <definedName name="fejlesztés" localSheetId="30">#REF!</definedName>
    <definedName name="fejlesztés" localSheetId="31">#REF!</definedName>
    <definedName name="fejlesztés" localSheetId="34">#REF!</definedName>
    <definedName name="fejlesztés" localSheetId="5">#REF!</definedName>
    <definedName name="fejlesztés" localSheetId="8">#REF!</definedName>
    <definedName name="fejlesztés" localSheetId="9">#REF!</definedName>
    <definedName name="fejlesztés">#REF!</definedName>
    <definedName name="Felhaszn.hitel" localSheetId="11">#REF!</definedName>
    <definedName name="Felhaszn.hitel" localSheetId="13">#REF!</definedName>
    <definedName name="Felhaszn.hitel" localSheetId="14">#REF!</definedName>
    <definedName name="Felhaszn.hitel" localSheetId="15">#REF!</definedName>
    <definedName name="Felhaszn.hitel" localSheetId="2">#REF!</definedName>
    <definedName name="Felhaszn.hitel" localSheetId="3">#REF!</definedName>
    <definedName name="Felhaszn.hitel" localSheetId="27">#REF!</definedName>
    <definedName name="Felhaszn.hitel" localSheetId="28">#REF!</definedName>
    <definedName name="Felhaszn.hitel" localSheetId="29">#REF!</definedName>
    <definedName name="Felhaszn.hitel" localSheetId="30">#REF!</definedName>
    <definedName name="Felhaszn.hitel" localSheetId="4">#REF!</definedName>
    <definedName name="Felhaszn.hitel" localSheetId="31">#REF!</definedName>
    <definedName name="Felhaszn.hitel" localSheetId="32">#REF!</definedName>
    <definedName name="Felhaszn.hitel" localSheetId="34">#REF!</definedName>
    <definedName name="Felhaszn.hitel" localSheetId="5">#REF!</definedName>
    <definedName name="Felhaszn.hitel" localSheetId="6">#REF!</definedName>
    <definedName name="Felhaszn.hitel" localSheetId="7">#REF!</definedName>
    <definedName name="Felhaszn.hitel" localSheetId="8">#REF!</definedName>
    <definedName name="Felhaszn.hitel" localSheetId="9">#REF!</definedName>
    <definedName name="Felhaszn.hitel" localSheetId="10">#REF!</definedName>
    <definedName name="Felhaszn.hitel" localSheetId="0">#N/A</definedName>
    <definedName name="Felhaszn.hitel">#REF!</definedName>
    <definedName name="felveendő" localSheetId="11">#REF!</definedName>
    <definedName name="felveendő" localSheetId="13">#REF!</definedName>
    <definedName name="felveendő" localSheetId="14">#REF!</definedName>
    <definedName name="felveendő" localSheetId="15">#REF!</definedName>
    <definedName name="felveendő" localSheetId="2">#REF!</definedName>
    <definedName name="felveendő" localSheetId="3">#REF!</definedName>
    <definedName name="felveendő" localSheetId="27">#REF!</definedName>
    <definedName name="felveendő" localSheetId="28">#REF!</definedName>
    <definedName name="felveendő" localSheetId="29">#REF!</definedName>
    <definedName name="felveendő" localSheetId="30">#REF!</definedName>
    <definedName name="felveendő" localSheetId="4">#REF!</definedName>
    <definedName name="felveendő" localSheetId="31">#REF!</definedName>
    <definedName name="felveendő" localSheetId="32">#REF!</definedName>
    <definedName name="felveendő" localSheetId="34">#REF!</definedName>
    <definedName name="felveendő" localSheetId="5">#REF!</definedName>
    <definedName name="felveendő" localSheetId="6">#REF!</definedName>
    <definedName name="felveendő" localSheetId="7">#REF!</definedName>
    <definedName name="felveendő" localSheetId="8">#REF!</definedName>
    <definedName name="felveendő" localSheetId="9">#REF!</definedName>
    <definedName name="felveendő" localSheetId="10">#REF!</definedName>
    <definedName name="felveendő" localSheetId="0">#REF!</definedName>
    <definedName name="felveendő">#REF!</definedName>
    <definedName name="Geszbevételek_új" localSheetId="11">#REF!</definedName>
    <definedName name="Geszbevételek_új" localSheetId="14">#REF!</definedName>
    <definedName name="Geszbevételek_új" localSheetId="15">#REF!</definedName>
    <definedName name="Geszbevételek_új" localSheetId="3">#REF!</definedName>
    <definedName name="Geszbevételek_új" localSheetId="28">#REF!</definedName>
    <definedName name="Geszbevételek_új" localSheetId="30">#REF!</definedName>
    <definedName name="Geszbevételek_új" localSheetId="4">#REF!</definedName>
    <definedName name="Geszbevételek_új" localSheetId="31">#REF!</definedName>
    <definedName name="Geszbevételek_új" localSheetId="34">#REF!</definedName>
    <definedName name="Geszbevételek_új" localSheetId="5">#REF!</definedName>
    <definedName name="Geszbevételek_új" localSheetId="6">#REF!</definedName>
    <definedName name="Geszbevételek_új" localSheetId="7">#REF!</definedName>
    <definedName name="Geszbevételek_új" localSheetId="8">#REF!</definedName>
    <definedName name="Geszbevételek_új" localSheetId="9">#REF!</definedName>
    <definedName name="Geszbevételek_új" localSheetId="10">#REF!</definedName>
    <definedName name="Geszbevételek_új">#REF!</definedName>
    <definedName name="gitta" localSheetId="0">Tartalomjegyzék_2018!$A$1:$C$19</definedName>
    <definedName name="hitelek" localSheetId="14">[3]PolgármesteriHiv_szakf__3_m__!$A$1:$E$31</definedName>
    <definedName name="hitelek" localSheetId="15">[3]PolgármesteriHiv_szakf__3_m__!$A$1:$E$31</definedName>
    <definedName name="hitelek" localSheetId="28">[3]PolgármesteriHiv_szakf__3_m__!$A$1:$E$31</definedName>
    <definedName name="hitelek" localSheetId="30">[3]PolgármesteriHiv_szakf__3_m__!$A$1:$E$31</definedName>
    <definedName name="hitelek" localSheetId="31">[3]PolgármesteriHiv_szakf__3_m__!$A$1:$E$31</definedName>
    <definedName name="hitelek" localSheetId="33">[3]PolgármesteriHiv_szakf__3_m__!$A$1:$E$31</definedName>
    <definedName name="hitelek" localSheetId="0">[3]PolgármesteriHiv_szakf__3_m__!$A$1:$E$31</definedName>
    <definedName name="hitelek">[3]PolgármesteriHiv_szakf__3_m__!$A$1:$E$31</definedName>
    <definedName name="Hosszútávú" localSheetId="11">#REF!</definedName>
    <definedName name="Hosszútávú" localSheetId="13">#REF!</definedName>
    <definedName name="Hosszútávú" localSheetId="14">#REF!</definedName>
    <definedName name="Hosszútávú" localSheetId="15">#REF!</definedName>
    <definedName name="Hosszútávú" localSheetId="2">#REF!</definedName>
    <definedName name="Hosszútávú" localSheetId="3">#REF!</definedName>
    <definedName name="Hosszútávú" localSheetId="27">#REF!</definedName>
    <definedName name="Hosszútávú" localSheetId="28">#REF!</definedName>
    <definedName name="Hosszútávú" localSheetId="29">#REF!</definedName>
    <definedName name="Hosszútávú" localSheetId="30">#REF!</definedName>
    <definedName name="Hosszútávú" localSheetId="4">#REF!</definedName>
    <definedName name="Hosszútávú" localSheetId="31">#REF!</definedName>
    <definedName name="Hosszútávú" localSheetId="32">#REF!</definedName>
    <definedName name="Hosszútávú" localSheetId="34">#REF!</definedName>
    <definedName name="Hosszútávú" localSheetId="5">#REF!</definedName>
    <definedName name="Hosszútávú" localSheetId="6">#REF!</definedName>
    <definedName name="Hosszútávú" localSheetId="7">#REF!</definedName>
    <definedName name="Hosszútávú" localSheetId="8">#REF!</definedName>
    <definedName name="Hosszútávú" localSheetId="9">#REF!</definedName>
    <definedName name="Hosszútávú" localSheetId="10">#REF!</definedName>
    <definedName name="Hosszútávú" localSheetId="0">#REF!</definedName>
    <definedName name="Hosszútávú">#REF!</definedName>
    <definedName name="i" localSheetId="11">#REF!</definedName>
    <definedName name="i" localSheetId="13">#REF!</definedName>
    <definedName name="i" localSheetId="14">#REF!</definedName>
    <definedName name="i" localSheetId="15">#REF!</definedName>
    <definedName name="i" localSheetId="2">#REF!</definedName>
    <definedName name="i" localSheetId="3">#REF!</definedName>
    <definedName name="i" localSheetId="28">#REF!</definedName>
    <definedName name="i" localSheetId="30">#REF!</definedName>
    <definedName name="i" localSheetId="4">#REF!</definedName>
    <definedName name="i" localSheetId="31">#REF!</definedName>
    <definedName name="i" localSheetId="34">#REF!</definedName>
    <definedName name="i" localSheetId="5">#REF!</definedName>
    <definedName name="i" localSheetId="6">#REF!</definedName>
    <definedName name="i" localSheetId="7">#REF!</definedName>
    <definedName name="i" localSheetId="8">#REF!</definedName>
    <definedName name="i" localSheetId="9">#REF!</definedName>
    <definedName name="i" localSheetId="10">#REF!</definedName>
    <definedName name="i">#REF!</definedName>
    <definedName name="illetmény" localSheetId="11">#REF!</definedName>
    <definedName name="illetmény" localSheetId="13">#REF!</definedName>
    <definedName name="illetmény" localSheetId="14">#REF!</definedName>
    <definedName name="illetmény" localSheetId="15">#REF!</definedName>
    <definedName name="illetmény" localSheetId="2">#REF!</definedName>
    <definedName name="illetmény" localSheetId="3">#REF!</definedName>
    <definedName name="illetmény" localSheetId="27">#REF!</definedName>
    <definedName name="illetmény" localSheetId="28">#REF!</definedName>
    <definedName name="illetmény" localSheetId="29">#REF!</definedName>
    <definedName name="illetmény" localSheetId="30">#REF!</definedName>
    <definedName name="illetmény" localSheetId="4">#REF!</definedName>
    <definedName name="illetmény" localSheetId="31">#REF!</definedName>
    <definedName name="illetmény" localSheetId="32">#REF!</definedName>
    <definedName name="illetmény" localSheetId="34">#REF!</definedName>
    <definedName name="illetmény" localSheetId="5">#REF!</definedName>
    <definedName name="illetmény" localSheetId="6">#REF!</definedName>
    <definedName name="illetmény" localSheetId="7">#REF!</definedName>
    <definedName name="illetmény" localSheetId="8">#REF!</definedName>
    <definedName name="illetmény" localSheetId="9">#REF!</definedName>
    <definedName name="illetmény" localSheetId="10">#REF!</definedName>
    <definedName name="illetmény" localSheetId="0">#N/A</definedName>
    <definedName name="illetmény">#REF!</definedName>
    <definedName name="indul" localSheetId="14">[4]PolgármesteriHiv_szakf__3_m__!$A$1:$E$31</definedName>
    <definedName name="indul" localSheetId="15">[4]PolgármesteriHiv_szakf__3_m__!$A$1:$E$31</definedName>
    <definedName name="indul" localSheetId="27">[5]PolgármesteriHiv_szakf__3_m__!$A$1:$E$31</definedName>
    <definedName name="indul" localSheetId="28">[4]PolgármesteriHiv_szakf__3_m__!$A$1:$E$31</definedName>
    <definedName name="indul" localSheetId="30">[4]PolgármesteriHiv_szakf__3_m__!$A$1:$E$31</definedName>
    <definedName name="indul" localSheetId="31">[4]PolgármesteriHiv_szakf__3_m__!$A$1:$E$31</definedName>
    <definedName name="indul" localSheetId="33">[4]PolgármesteriHiv_szakf__3_m__!$A$1:$E$31</definedName>
    <definedName name="indul" localSheetId="0">#N/A</definedName>
    <definedName name="indul">[4]PolgármesteriHiv_szakf__3_m__!$A$1:$E$31</definedName>
    <definedName name="k" localSheetId="11">#REF!</definedName>
    <definedName name="k" localSheetId="13">#REF!</definedName>
    <definedName name="k" localSheetId="14">#REF!</definedName>
    <definedName name="k" localSheetId="15">#REF!</definedName>
    <definedName name="k" localSheetId="2">#REF!</definedName>
    <definedName name="k" localSheetId="3">#REF!</definedName>
    <definedName name="k" localSheetId="28">#REF!</definedName>
    <definedName name="k" localSheetId="30">#REF!</definedName>
    <definedName name="k" localSheetId="4">#REF!</definedName>
    <definedName name="k" localSheetId="31">#REF!</definedName>
    <definedName name="k" localSheetId="34">#REF!</definedName>
    <definedName name="k" localSheetId="5">#REF!</definedName>
    <definedName name="k" localSheetId="6">#REF!</definedName>
    <definedName name="k" localSheetId="7">#REF!</definedName>
    <definedName name="k" localSheetId="8">#REF!</definedName>
    <definedName name="k" localSheetId="9">#REF!</definedName>
    <definedName name="k" localSheetId="10">#REF!</definedName>
    <definedName name="k">#REF!</definedName>
    <definedName name="konsz" localSheetId="11">#REF!</definedName>
    <definedName name="konsz" localSheetId="13">#REF!</definedName>
    <definedName name="konsz" localSheetId="14">#REF!</definedName>
    <definedName name="konsz" localSheetId="15">#REF!</definedName>
    <definedName name="konsz" localSheetId="2">#REF!</definedName>
    <definedName name="konsz" localSheetId="3">#REF!</definedName>
    <definedName name="konsz" localSheetId="27">#REF!</definedName>
    <definedName name="konsz" localSheetId="28">#REF!</definedName>
    <definedName name="konsz" localSheetId="29">#REF!</definedName>
    <definedName name="konsz" localSheetId="30">#REF!</definedName>
    <definedName name="konsz" localSheetId="4">#REF!</definedName>
    <definedName name="konsz" localSheetId="31">#REF!</definedName>
    <definedName name="konsz" localSheetId="32">#REF!</definedName>
    <definedName name="konsz" localSheetId="34">#REF!</definedName>
    <definedName name="konsz" localSheetId="5">#REF!</definedName>
    <definedName name="konsz" localSheetId="6">#REF!</definedName>
    <definedName name="konsz" localSheetId="7">#REF!</definedName>
    <definedName name="konsz" localSheetId="8">#REF!</definedName>
    <definedName name="konsz" localSheetId="9">#REF!</definedName>
    <definedName name="konsz" localSheetId="10">#REF!</definedName>
    <definedName name="konsz" localSheetId="0">#REF!</definedName>
    <definedName name="konsz">#REF!</definedName>
    <definedName name="konsz1" localSheetId="11">#REF!</definedName>
    <definedName name="konsz1" localSheetId="13">#REF!</definedName>
    <definedName name="konsz1" localSheetId="14">#REF!</definedName>
    <definedName name="konsz1" localSheetId="15">#REF!</definedName>
    <definedName name="konsz1" localSheetId="2">#REF!</definedName>
    <definedName name="konsz1" localSheetId="3">#REF!</definedName>
    <definedName name="konsz1" localSheetId="27">#REF!</definedName>
    <definedName name="konsz1" localSheetId="28">#REF!</definedName>
    <definedName name="konsz1" localSheetId="29">#REF!</definedName>
    <definedName name="konsz1" localSheetId="30">#REF!</definedName>
    <definedName name="konsz1" localSheetId="4">#REF!</definedName>
    <definedName name="konsz1" localSheetId="31">#REF!</definedName>
    <definedName name="konsz1" localSheetId="32">#REF!</definedName>
    <definedName name="konsz1" localSheetId="34">#REF!</definedName>
    <definedName name="konsz1" localSheetId="5">#REF!</definedName>
    <definedName name="konsz1" localSheetId="6">#REF!</definedName>
    <definedName name="konsz1" localSheetId="7">#REF!</definedName>
    <definedName name="konsz1" localSheetId="8">#REF!</definedName>
    <definedName name="konsz1" localSheetId="9">#REF!</definedName>
    <definedName name="konsz1" localSheetId="10">#REF!</definedName>
    <definedName name="konsz1" localSheetId="0">#REF!</definedName>
    <definedName name="konsz1">#REF!</definedName>
    <definedName name="konsz2" localSheetId="11">#REF!</definedName>
    <definedName name="konsz2" localSheetId="13">#REF!</definedName>
    <definedName name="konsz2" localSheetId="14">#REF!</definedName>
    <definedName name="konsz2" localSheetId="15">#REF!</definedName>
    <definedName name="konsz2" localSheetId="2">#REF!</definedName>
    <definedName name="konsz2" localSheetId="3">#REF!</definedName>
    <definedName name="konsz2" localSheetId="27">#REF!</definedName>
    <definedName name="konsz2" localSheetId="28">#REF!</definedName>
    <definedName name="konsz2" localSheetId="29">#REF!</definedName>
    <definedName name="konsz2" localSheetId="30">#REF!</definedName>
    <definedName name="konsz2" localSheetId="4">#REF!</definedName>
    <definedName name="konsz2" localSheetId="31">#REF!</definedName>
    <definedName name="konsz2" localSheetId="32">#REF!</definedName>
    <definedName name="konsz2" localSheetId="34">#REF!</definedName>
    <definedName name="konsz2" localSheetId="5">#REF!</definedName>
    <definedName name="konsz2" localSheetId="6">#REF!</definedName>
    <definedName name="konsz2" localSheetId="7">#REF!</definedName>
    <definedName name="konsz2" localSheetId="8">#REF!</definedName>
    <definedName name="konsz2" localSheetId="9">#REF!</definedName>
    <definedName name="konsz2" localSheetId="10">#REF!</definedName>
    <definedName name="konsz2" localSheetId="0">#REF!</definedName>
    <definedName name="konsz2">#REF!</definedName>
    <definedName name="Kötvény" localSheetId="11">#REF!</definedName>
    <definedName name="Kötvény" localSheetId="13">#REF!</definedName>
    <definedName name="Kötvény" localSheetId="14">#REF!</definedName>
    <definedName name="Kötvény" localSheetId="15">#REF!</definedName>
    <definedName name="Kötvény" localSheetId="2">#REF!</definedName>
    <definedName name="Kötvény" localSheetId="3">#REF!</definedName>
    <definedName name="Kötvény" localSheetId="27">#REF!</definedName>
    <definedName name="Kötvény" localSheetId="28">#REF!</definedName>
    <definedName name="Kötvény" localSheetId="29">#REF!</definedName>
    <definedName name="Kötvény" localSheetId="30">#REF!</definedName>
    <definedName name="Kötvény" localSheetId="4">#REF!</definedName>
    <definedName name="Kötvény" localSheetId="31">#REF!</definedName>
    <definedName name="Kötvény" localSheetId="32">#REF!</definedName>
    <definedName name="Kötvény" localSheetId="34">#REF!</definedName>
    <definedName name="Kötvény" localSheetId="5">#REF!</definedName>
    <definedName name="Kötvény" localSheetId="6">#REF!</definedName>
    <definedName name="Kötvény" localSheetId="7">#REF!</definedName>
    <definedName name="Kötvény" localSheetId="8">#REF!</definedName>
    <definedName name="Kötvény" localSheetId="9">#REF!</definedName>
    <definedName name="Kötvény" localSheetId="10">#REF!</definedName>
    <definedName name="Kötvény" localSheetId="0">#REF!</definedName>
    <definedName name="Kötvény">#REF!</definedName>
    <definedName name="Kötvénnyel" localSheetId="14">[3]PolgármesteriHiv_szakf__3_m__!$A$1:$E$31</definedName>
    <definedName name="Kötvénnyel" localSheetId="15">[3]PolgármesteriHiv_szakf__3_m__!$A$1:$E$31</definedName>
    <definedName name="Kötvénnyel" localSheetId="28">[3]PolgármesteriHiv_szakf__3_m__!$A$1:$E$31</definedName>
    <definedName name="Kötvénnyel" localSheetId="30">[3]PolgármesteriHiv_szakf__3_m__!$A$1:$E$31</definedName>
    <definedName name="Kötvénnyel" localSheetId="31">[3]PolgármesteriHiv_szakf__3_m__!$A$1:$E$31</definedName>
    <definedName name="Kötvénnyel" localSheetId="33">[3]PolgármesteriHiv_szakf__3_m__!$A$1:$E$31</definedName>
    <definedName name="Kötvénnyel" localSheetId="0">[3]PolgármesteriHiv_szakf__3_m__!$A$1:$E$31</definedName>
    <definedName name="Kötvénnyel">[3]PolgármesteriHiv_szakf__3_m__!$A$1:$E$31</definedName>
    <definedName name="közvet.tám" localSheetId="14">#REF!</definedName>
    <definedName name="közvet.tám" localSheetId="15">#REF!</definedName>
    <definedName name="közvet.tám" localSheetId="28">#REF!</definedName>
    <definedName name="közvet.tám" localSheetId="30">#REF!</definedName>
    <definedName name="közvet.tám" localSheetId="31">#REF!</definedName>
    <definedName name="közvet.tám" localSheetId="33">#REF!</definedName>
    <definedName name="közvet.tám" localSheetId="34">#REF!</definedName>
    <definedName name="közvet.tám" localSheetId="5">#REF!</definedName>
    <definedName name="közvet.tám" localSheetId="8">#REF!</definedName>
    <definedName name="közvet.tám" localSheetId="9">#REF!</definedName>
    <definedName name="közvet.tám">#REF!</definedName>
    <definedName name="l" localSheetId="11">#REF!</definedName>
    <definedName name="l" localSheetId="13">#REF!</definedName>
    <definedName name="l" localSheetId="14">#REF!</definedName>
    <definedName name="l" localSheetId="15">#REF!</definedName>
    <definedName name="l" localSheetId="2">#REF!</definedName>
    <definedName name="l" localSheetId="3">#REF!</definedName>
    <definedName name="l" localSheetId="28">#REF!</definedName>
    <definedName name="l" localSheetId="30">#REF!</definedName>
    <definedName name="l" localSheetId="4">#REF!</definedName>
    <definedName name="l" localSheetId="31">#REF!</definedName>
    <definedName name="l" localSheetId="34">#REF!</definedName>
    <definedName name="l" localSheetId="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>#REF!</definedName>
    <definedName name="Létszám" localSheetId="14">[4]PolgármesteriHiv_szakf__3_m__!$A$1:$E$31</definedName>
    <definedName name="Létszám" localSheetId="15">[4]PolgármesteriHiv_szakf__3_m__!$A$1:$E$31</definedName>
    <definedName name="Létszám" localSheetId="28">[4]PolgármesteriHiv_szakf__3_m__!$A$1:$E$31</definedName>
    <definedName name="Létszám" localSheetId="31">[4]PolgármesteriHiv_szakf__3_m__!$A$1:$E$31</definedName>
    <definedName name="Létszám" localSheetId="33">[4]PolgármesteriHiv_szakf__3_m__!$A$1:$E$31</definedName>
    <definedName name="Létszám">[4]PolgármesteriHiv_szakf__3_m__!$A$1:$E$31</definedName>
    <definedName name="Ligeti" localSheetId="15">#REF!</definedName>
    <definedName name="Ligeti" localSheetId="34">#REF!</definedName>
    <definedName name="Ligeti">#REF!</definedName>
    <definedName name="ll" localSheetId="11">#REF!</definedName>
    <definedName name="ll" localSheetId="13">#REF!</definedName>
    <definedName name="ll" localSheetId="14">#REF!</definedName>
    <definedName name="ll" localSheetId="15">#REF!</definedName>
    <definedName name="ll" localSheetId="2">#REF!</definedName>
    <definedName name="ll" localSheetId="3">#REF!</definedName>
    <definedName name="ll" localSheetId="28">#REF!</definedName>
    <definedName name="ll" localSheetId="30">#REF!</definedName>
    <definedName name="ll" localSheetId="4">#REF!</definedName>
    <definedName name="ll" localSheetId="31">#REF!</definedName>
    <definedName name="ll" localSheetId="3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>#REF!</definedName>
    <definedName name="lll" localSheetId="11">#REF!</definedName>
    <definedName name="lll" localSheetId="13">#REF!</definedName>
    <definedName name="lll" localSheetId="14">#REF!</definedName>
    <definedName name="lll" localSheetId="15">#REF!</definedName>
    <definedName name="lll" localSheetId="2">#REF!</definedName>
    <definedName name="lll" localSheetId="3">#REF!</definedName>
    <definedName name="lll" localSheetId="28">#REF!</definedName>
    <definedName name="lll" localSheetId="30">#REF!</definedName>
    <definedName name="lll" localSheetId="4">#REF!</definedName>
    <definedName name="lll" localSheetId="31">#REF!</definedName>
    <definedName name="lll" localSheetId="34">#REF!</definedName>
    <definedName name="lll" localSheetId="5">#REF!</definedName>
    <definedName name="lll" localSheetId="6">#REF!</definedName>
    <definedName name="lll" localSheetId="7">#REF!</definedName>
    <definedName name="lll" localSheetId="8">#REF!</definedName>
    <definedName name="lll" localSheetId="9">#REF!</definedName>
    <definedName name="lll" localSheetId="10">#REF!</definedName>
    <definedName name="lll">#REF!</definedName>
    <definedName name="llll" localSheetId="11">#REF!</definedName>
    <definedName name="llll" localSheetId="13">#REF!</definedName>
    <definedName name="llll" localSheetId="14">#REF!</definedName>
    <definedName name="llll" localSheetId="15">#REF!</definedName>
    <definedName name="llll" localSheetId="2">#REF!</definedName>
    <definedName name="llll" localSheetId="3">#REF!</definedName>
    <definedName name="llll" localSheetId="28">#REF!</definedName>
    <definedName name="llll" localSheetId="30">#REF!</definedName>
    <definedName name="llll" localSheetId="4">#REF!</definedName>
    <definedName name="llll" localSheetId="31">#REF!</definedName>
    <definedName name="llll" localSheetId="34">#REF!</definedName>
    <definedName name="llll" localSheetId="5">#REF!</definedName>
    <definedName name="llll" localSheetId="6">#REF!</definedName>
    <definedName name="llll" localSheetId="7">#REF!</definedName>
    <definedName name="llll" localSheetId="8">#REF!</definedName>
    <definedName name="llll" localSheetId="9">#REF!</definedName>
    <definedName name="llll" localSheetId="10">#REF!</definedName>
    <definedName name="llll">#REF!</definedName>
    <definedName name="lllll" localSheetId="11">#REF!</definedName>
    <definedName name="lllll" localSheetId="13">#REF!</definedName>
    <definedName name="lllll" localSheetId="14">#REF!</definedName>
    <definedName name="lllll" localSheetId="15">#REF!</definedName>
    <definedName name="lllll" localSheetId="2">#REF!</definedName>
    <definedName name="lllll" localSheetId="3">#REF!</definedName>
    <definedName name="lllll" localSheetId="28">#REF!</definedName>
    <definedName name="lllll" localSheetId="30">#REF!</definedName>
    <definedName name="lllll" localSheetId="4">#REF!</definedName>
    <definedName name="lllll" localSheetId="31">#REF!</definedName>
    <definedName name="lllll" localSheetId="34">#REF!</definedName>
    <definedName name="lllll" localSheetId="5">#REF!</definedName>
    <definedName name="lllll" localSheetId="6">#REF!</definedName>
    <definedName name="lllll" localSheetId="7">#REF!</definedName>
    <definedName name="lllll" localSheetId="8">#REF!</definedName>
    <definedName name="lllll" localSheetId="9">#REF!</definedName>
    <definedName name="lllll" localSheetId="10">#REF!</definedName>
    <definedName name="lllll">#REF!</definedName>
    <definedName name="llllll" localSheetId="11">#REF!</definedName>
    <definedName name="llllll" localSheetId="13">#REF!</definedName>
    <definedName name="llllll" localSheetId="14">#REF!</definedName>
    <definedName name="llllll" localSheetId="15">#REF!</definedName>
    <definedName name="llllll" localSheetId="2">#REF!</definedName>
    <definedName name="llllll" localSheetId="3">#REF!</definedName>
    <definedName name="llllll" localSheetId="28">#REF!</definedName>
    <definedName name="llllll" localSheetId="30">#REF!</definedName>
    <definedName name="llllll" localSheetId="4">#REF!</definedName>
    <definedName name="llllll" localSheetId="31">#REF!</definedName>
    <definedName name="llllll" localSheetId="34">#REF!</definedName>
    <definedName name="llllll" localSheetId="5">#REF!</definedName>
    <definedName name="llllll" localSheetId="6">#REF!</definedName>
    <definedName name="llllll" localSheetId="7">#REF!</definedName>
    <definedName name="llllll" localSheetId="8">#REF!</definedName>
    <definedName name="llllll" localSheetId="9">#REF!</definedName>
    <definedName name="llllll" localSheetId="10">#REF!</definedName>
    <definedName name="llllll">#REF!</definedName>
    <definedName name="llllllllllll" localSheetId="11">#REF!</definedName>
    <definedName name="llllllllllll" localSheetId="13">#REF!</definedName>
    <definedName name="llllllllllll" localSheetId="14">#REF!</definedName>
    <definedName name="llllllllllll" localSheetId="15">#REF!</definedName>
    <definedName name="llllllllllll" localSheetId="2">#REF!</definedName>
    <definedName name="llllllllllll" localSheetId="3">#REF!</definedName>
    <definedName name="llllllllllll" localSheetId="28">#REF!</definedName>
    <definedName name="llllllllllll" localSheetId="30">#REF!</definedName>
    <definedName name="llllllllllll" localSheetId="4">#REF!</definedName>
    <definedName name="llllllllllll" localSheetId="31">#REF!</definedName>
    <definedName name="llllllllllll" localSheetId="34">#REF!</definedName>
    <definedName name="llllllllllll" localSheetId="5">#REF!</definedName>
    <definedName name="llllllllllll" localSheetId="6">#REF!</definedName>
    <definedName name="llllllllllll" localSheetId="7">#REF!</definedName>
    <definedName name="llllllllllll" localSheetId="8">#REF!</definedName>
    <definedName name="llllllllllll" localSheetId="9">#REF!</definedName>
    <definedName name="llllllllllll" localSheetId="10">#REF!</definedName>
    <definedName name="llllllllllll">#REF!</definedName>
    <definedName name="llllllllllllllllllllllllllllll" localSheetId="11">#REF!</definedName>
    <definedName name="llllllllllllllllllllllllllllll" localSheetId="13">#REF!</definedName>
    <definedName name="llllllllllllllllllllllllllllll" localSheetId="14">#REF!</definedName>
    <definedName name="llllllllllllllllllllllllllllll" localSheetId="15">#REF!</definedName>
    <definedName name="llllllllllllllllllllllllllllll" localSheetId="2">#REF!</definedName>
    <definedName name="llllllllllllllllllllllllllllll" localSheetId="3">#REF!</definedName>
    <definedName name="llllllllllllllllllllllllllllll" localSheetId="28">#REF!</definedName>
    <definedName name="llllllllllllllllllllllllllllll" localSheetId="30">#REF!</definedName>
    <definedName name="llllllllllllllllllllllllllllll" localSheetId="4">#REF!</definedName>
    <definedName name="llllllllllllllllllllllllllllll" localSheetId="31">#REF!</definedName>
    <definedName name="llllllllllllllllllllllllllllll" localSheetId="34">#REF!</definedName>
    <definedName name="llllllllllllllllllllllllllllll" localSheetId="5">#REF!</definedName>
    <definedName name="llllllllllllllllllllllllllllll" localSheetId="6">#REF!</definedName>
    <definedName name="llllllllllllllllllllllllllllll" localSheetId="7">#REF!</definedName>
    <definedName name="llllllllllllllllllllllllllllll" localSheetId="8">#REF!</definedName>
    <definedName name="llllllllllllllllllllllllllllll" localSheetId="9">#REF!</definedName>
    <definedName name="llllllllllllllllllllllllllllll" localSheetId="10">#REF!</definedName>
    <definedName name="llllllllllllllllllllllllllllll">#REF!</definedName>
    <definedName name="Mérleg" localSheetId="11">#REF!</definedName>
    <definedName name="Mérleg" localSheetId="13">#REF!</definedName>
    <definedName name="Mérleg" localSheetId="14">#REF!</definedName>
    <definedName name="Mérleg" localSheetId="15">#REF!</definedName>
    <definedName name="Mérleg" localSheetId="2">#REF!</definedName>
    <definedName name="Mérleg" localSheetId="3">#REF!</definedName>
    <definedName name="Mérleg" localSheetId="27">#REF!</definedName>
    <definedName name="Mérleg" localSheetId="28">#REF!</definedName>
    <definedName name="Mérleg" localSheetId="29">#REF!</definedName>
    <definedName name="Mérleg" localSheetId="30">#REF!</definedName>
    <definedName name="Mérleg" localSheetId="4">#REF!</definedName>
    <definedName name="Mérleg" localSheetId="31">#REF!</definedName>
    <definedName name="Mérleg" localSheetId="32">#REF!</definedName>
    <definedName name="Mérleg" localSheetId="34">#REF!</definedName>
    <definedName name="Mérleg" localSheetId="5">#REF!</definedName>
    <definedName name="Mérleg" localSheetId="6">#REF!</definedName>
    <definedName name="Mérleg" localSheetId="7">#REF!</definedName>
    <definedName name="Mérleg" localSheetId="8">#REF!</definedName>
    <definedName name="Mérleg" localSheetId="9">#REF!</definedName>
    <definedName name="Mérleg" localSheetId="10">#REF!</definedName>
    <definedName name="Mérleg" localSheetId="0">#N/A</definedName>
    <definedName name="Mérleg">#REF!</definedName>
    <definedName name="Nemet" localSheetId="15">#REF!</definedName>
    <definedName name="Nemet" localSheetId="34">#REF!</definedName>
    <definedName name="Nemet">#REF!</definedName>
    <definedName name="Német" localSheetId="15">#REF!</definedName>
    <definedName name="Német" localSheetId="34">#REF!</definedName>
    <definedName name="Német">#REF!</definedName>
    <definedName name="Névtelen" localSheetId="11">#REF!</definedName>
    <definedName name="Névtelen" localSheetId="13">#REF!</definedName>
    <definedName name="Névtelen" localSheetId="14">#REF!</definedName>
    <definedName name="Névtelen" localSheetId="15">#REF!</definedName>
    <definedName name="Névtelen" localSheetId="2">#REF!</definedName>
    <definedName name="Névtelen" localSheetId="3">#REF!</definedName>
    <definedName name="Névtelen" localSheetId="27">#REF!</definedName>
    <definedName name="Névtelen" localSheetId="28">#REF!</definedName>
    <definedName name="Névtelen" localSheetId="29">#REF!</definedName>
    <definedName name="Névtelen" localSheetId="30">#REF!</definedName>
    <definedName name="Névtelen" localSheetId="4">#REF!</definedName>
    <definedName name="Névtelen" localSheetId="31">#REF!</definedName>
    <definedName name="Névtelen" localSheetId="32">#REF!</definedName>
    <definedName name="Névtelen" localSheetId="34">#REF!</definedName>
    <definedName name="Névtelen" localSheetId="5">#REF!</definedName>
    <definedName name="Névtelen" localSheetId="6">#REF!</definedName>
    <definedName name="Névtelen" localSheetId="7">#REF!</definedName>
    <definedName name="Névtelen" localSheetId="8">#REF!</definedName>
    <definedName name="Névtelen" localSheetId="9">#REF!</definedName>
    <definedName name="Névtelen" localSheetId="10">#REF!</definedName>
    <definedName name="Névtelen" localSheetId="0">#N/A</definedName>
    <definedName name="Névtelen">#REF!</definedName>
    <definedName name="NNÓ" localSheetId="15">#REF!</definedName>
    <definedName name="NNÓ" localSheetId="34">#REF!</definedName>
    <definedName name="NNÓ">#REF!</definedName>
    <definedName name="Normatíva" localSheetId="11">#REF!</definedName>
    <definedName name="Normatíva" localSheetId="13">#REF!</definedName>
    <definedName name="Normatíva" localSheetId="14">#REF!</definedName>
    <definedName name="Normatíva" localSheetId="15">#REF!</definedName>
    <definedName name="Normatíva" localSheetId="2">#REF!</definedName>
    <definedName name="Normatíva" localSheetId="3">#REF!</definedName>
    <definedName name="Normatíva" localSheetId="27">#REF!</definedName>
    <definedName name="Normatíva" localSheetId="28">#REF!</definedName>
    <definedName name="Normatíva" localSheetId="29">#REF!</definedName>
    <definedName name="Normatíva" localSheetId="30">#REF!</definedName>
    <definedName name="Normatíva" localSheetId="4">#REF!</definedName>
    <definedName name="Normatíva" localSheetId="31">#REF!</definedName>
    <definedName name="Normatíva" localSheetId="32">#REF!</definedName>
    <definedName name="Normatíva" localSheetId="34">#REF!</definedName>
    <definedName name="Normatíva" localSheetId="5">#REF!</definedName>
    <definedName name="Normatíva" localSheetId="6">#REF!</definedName>
    <definedName name="Normatíva" localSheetId="7">#REF!</definedName>
    <definedName name="Normatíva" localSheetId="8">#REF!</definedName>
    <definedName name="Normatíva" localSheetId="9">#REF!</definedName>
    <definedName name="Normatíva" localSheetId="10">#REF!</definedName>
    <definedName name="Normatíva" localSheetId="0">#REF!</definedName>
    <definedName name="Normatíva">#REF!</definedName>
    <definedName name="_xlnm.Print_Titles" localSheetId="14">'13. Költségvetési támogatások'!$9:$9</definedName>
    <definedName name="_xlnm.Print_Area" localSheetId="1">'1.Bev_kiad_kiemelt ei'!$A$1:$J$19</definedName>
    <definedName name="_xlnm.Print_Area" localSheetId="11">'10.GESZ'!$A$1:$F$65</definedName>
    <definedName name="_xlnm.Print_Area" localSheetId="12">'11. Bölcsöde'!$A$1:$F$65</definedName>
    <definedName name="_xlnm.Print_Area" localSheetId="13">'12. Támogatási bevételek(B1,B2)'!$A$1:$T$22</definedName>
    <definedName name="_xlnm.Print_Area" localSheetId="14">'13. Költségvetési támogatások'!$A$1:$F$81</definedName>
    <definedName name="_xlnm.Print_Area" localSheetId="15">'14. Intézményi normatíva'!$A$1:$E$79</definedName>
    <definedName name="_xlnm.Print_Area" localSheetId="16">'15. Működési bev. (B3,B4)'!$A$1:$G$51</definedName>
    <definedName name="_xlnm.Print_Area" localSheetId="17">'16. Átvett pénze.(B6,B7)'!$A$1:$D$33</definedName>
    <definedName name="_xlnm.Print_Area" localSheetId="18">'17. finanszírozás be_ki (B8,K9)'!$A$1:$E$36</definedName>
    <definedName name="_xlnm.Print_Area" localSheetId="19">'18. Dologi kiadások cofog(K3)'!$A$1:$G$38</definedName>
    <definedName name="_xlnm.Print_Area" localSheetId="20">'19. Dologi kiad.igazg. (K3)'!$A$1:$H$57</definedName>
    <definedName name="_xlnm.Print_Area" localSheetId="2">'2.Bevételek_részletes'!$A$1:$N$46</definedName>
    <definedName name="_xlnm.Print_Area" localSheetId="3">'2.Kiadások_részletes '!$A$1:$N$35</definedName>
    <definedName name="_xlnm.Print_Area" localSheetId="21">'20. Ellátottak p.jutattás (K4)'!$A$1:$G$25</definedName>
    <definedName name="_xlnm.Print_Area" localSheetId="22">'21. Pe. átad. és tám. (K5)'!$A$1:$E$42</definedName>
    <definedName name="_xlnm.Print_Area" localSheetId="23">'22. Tartalékok (K512)'!$A$1:$D$28</definedName>
    <definedName name="_xlnm.Print_Area" localSheetId="24">'23. Beruházás (K6)'!$A$1:$F$38</definedName>
    <definedName name="_xlnm.Print_Area" localSheetId="25">'24. Felújítás (K7)'!$A$1:$F$28</definedName>
    <definedName name="_xlnm.Print_Area" localSheetId="26">'25. Több éves elköt.'!$A$1:$L$21</definedName>
    <definedName name="_xlnm.Print_Area" localSheetId="27">'26.sz.létszám'!$A$1:$G$38</definedName>
    <definedName name="_xlnm.Print_Area" localSheetId="28">'27. ktgv.mérleg'!$A$1:$L$33</definedName>
    <definedName name="_xlnm.Print_Area" localSheetId="29">'28.eir.felh.ütemterv'!$A$1:$O$31</definedName>
    <definedName name="_xlnm.Print_Area" localSheetId="30">'29.sz.finansz.ütemterv'!$A$1:$H$35</definedName>
    <definedName name="_xlnm.Print_Area" localSheetId="4">'3. Gesz költségvetés'!$A$1:$N$52</definedName>
    <definedName name="_xlnm.Print_Area" localSheetId="31">'30.sz.közvetett tám.'!$A$1:$D$32</definedName>
    <definedName name="_xlnm.Print_Area" localSheetId="32">'31.sz.adósságszolgálat'!$A$1:$C$9</definedName>
    <definedName name="_xlnm.Print_Area" localSheetId="33">'32. gördülő'!$A$1:$F$49</definedName>
    <definedName name="_xlnm.Print_Area" localSheetId="34">'33. EU projekt'!$A$1:$E$39</definedName>
    <definedName name="_xlnm.Print_Area" localSheetId="5">'4. Köt+önk_Önkori'!$A$1:$F$71</definedName>
    <definedName name="_xlnm.Print_Area" localSheetId="6">'5. Köt+önk_PH'!$A$1:$G$69</definedName>
    <definedName name="_xlnm.Print_Area" localSheetId="7">'6. Köt+önk_Szakorvosi'!$A$1:$F$65</definedName>
    <definedName name="_xlnm.Print_Area" localSheetId="8">'7.Ligeti cseperedő Ovi'!$A$1:$F$65</definedName>
    <definedName name="_xlnm.Print_Area" localSheetId="9">'8.Német nemzetiségi Ovi'!$A$1:$F$65</definedName>
    <definedName name="_xlnm.Print_Area" localSheetId="10">'9.Művészetek Háza'!$A$1:$G$65</definedName>
    <definedName name="_xlnm.Print_Area" localSheetId="0">Tartalomjegyzék_2018!$A$1:$B$40</definedName>
    <definedName name="Összehas.norm." localSheetId="11">#REF!</definedName>
    <definedName name="Összehas.norm." localSheetId="13">#REF!</definedName>
    <definedName name="Összehas.norm." localSheetId="14">#REF!</definedName>
    <definedName name="Összehas.norm." localSheetId="15">#REF!</definedName>
    <definedName name="Összehas.norm." localSheetId="2">#REF!</definedName>
    <definedName name="Összehas.norm." localSheetId="3">#REF!</definedName>
    <definedName name="Összehas.norm." localSheetId="27">#REF!</definedName>
    <definedName name="Összehas.norm." localSheetId="28">#REF!</definedName>
    <definedName name="Összehas.norm." localSheetId="29">#REF!</definedName>
    <definedName name="Összehas.norm." localSheetId="30">#REF!</definedName>
    <definedName name="Összehas.norm." localSheetId="4">#REF!</definedName>
    <definedName name="Összehas.norm." localSheetId="31">#REF!</definedName>
    <definedName name="Összehas.norm." localSheetId="32">#REF!</definedName>
    <definedName name="Összehas.norm." localSheetId="34">#REF!</definedName>
    <definedName name="Összehas.norm." localSheetId="5">#REF!</definedName>
    <definedName name="Összehas.norm." localSheetId="6">#REF!</definedName>
    <definedName name="Összehas.norm." localSheetId="7">#REF!</definedName>
    <definedName name="Összehas.norm." localSheetId="8">#REF!</definedName>
    <definedName name="Összehas.norm." localSheetId="9">#REF!</definedName>
    <definedName name="Összehas.norm." localSheetId="10">#REF!</definedName>
    <definedName name="Összehas.norm." localSheetId="0">#N/A</definedName>
    <definedName name="Összehas.norm.">#REF!</definedName>
    <definedName name="p" localSheetId="11">#REF!</definedName>
    <definedName name="p" localSheetId="13">#REF!</definedName>
    <definedName name="p" localSheetId="14">#REF!</definedName>
    <definedName name="p" localSheetId="15">#REF!</definedName>
    <definedName name="p" localSheetId="2">#REF!</definedName>
    <definedName name="p" localSheetId="3">#REF!</definedName>
    <definedName name="p" localSheetId="28">#REF!</definedName>
    <definedName name="p" localSheetId="30">#REF!</definedName>
    <definedName name="p" localSheetId="4">#REF!</definedName>
    <definedName name="p" localSheetId="31">#REF!</definedName>
    <definedName name="p" localSheetId="3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10">#REF!</definedName>
    <definedName name="p">#REF!</definedName>
    <definedName name="Státusz" localSheetId="11">#REF!</definedName>
    <definedName name="Státusz" localSheetId="13">#REF!</definedName>
    <definedName name="Státusz" localSheetId="14">#REF!</definedName>
    <definedName name="Státusz" localSheetId="15">#REF!</definedName>
    <definedName name="Státusz" localSheetId="2">#REF!</definedName>
    <definedName name="Státusz" localSheetId="3">#REF!</definedName>
    <definedName name="Státusz" localSheetId="27">#REF!</definedName>
    <definedName name="Státusz" localSheetId="28">#REF!</definedName>
    <definedName name="Státusz" localSheetId="29">#REF!</definedName>
    <definedName name="Státusz" localSheetId="30">#REF!</definedName>
    <definedName name="Státusz" localSheetId="4">#REF!</definedName>
    <definedName name="Státusz" localSheetId="31">#REF!</definedName>
    <definedName name="Státusz" localSheetId="32">#REF!</definedName>
    <definedName name="Státusz" localSheetId="34">#REF!</definedName>
    <definedName name="Státusz" localSheetId="5">#REF!</definedName>
    <definedName name="Státusz" localSheetId="6">#REF!</definedName>
    <definedName name="Státusz" localSheetId="7">#REF!</definedName>
    <definedName name="Státusz" localSheetId="8">#REF!</definedName>
    <definedName name="Státusz" localSheetId="9">#REF!</definedName>
    <definedName name="Státusz" localSheetId="10">#REF!</definedName>
    <definedName name="Státusz" localSheetId="0">#N/A</definedName>
    <definedName name="Státusz">#REF!</definedName>
    <definedName name="t" localSheetId="11">#REF!</definedName>
    <definedName name="t" localSheetId="13">#REF!</definedName>
    <definedName name="t" localSheetId="14">#REF!</definedName>
    <definedName name="t" localSheetId="15">#REF!</definedName>
    <definedName name="t" localSheetId="2">#REF!</definedName>
    <definedName name="t" localSheetId="3">#REF!</definedName>
    <definedName name="t" localSheetId="28">#REF!</definedName>
    <definedName name="t" localSheetId="30">#REF!</definedName>
    <definedName name="t" localSheetId="4">#REF!</definedName>
    <definedName name="t" localSheetId="31">#REF!</definedName>
    <definedName name="t" localSheetId="3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>#REF!</definedName>
    <definedName name="tartos" localSheetId="14">#REF!</definedName>
    <definedName name="tartos" localSheetId="15">#REF!</definedName>
    <definedName name="tartos" localSheetId="28">#REF!</definedName>
    <definedName name="tartos" localSheetId="30">#REF!</definedName>
    <definedName name="tartos" localSheetId="31">#REF!</definedName>
    <definedName name="tartos" localSheetId="34">#REF!</definedName>
    <definedName name="tartos" localSheetId="5">#REF!</definedName>
    <definedName name="tartos" localSheetId="8">#REF!</definedName>
    <definedName name="tartos" localSheetId="9">#REF!</definedName>
    <definedName name="tartos">#REF!</definedName>
    <definedName name="u" localSheetId="11">#REF!</definedName>
    <definedName name="u" localSheetId="13">#REF!</definedName>
    <definedName name="u" localSheetId="14">#REF!</definedName>
    <definedName name="u" localSheetId="15">#REF!</definedName>
    <definedName name="u" localSheetId="2">#REF!</definedName>
    <definedName name="u" localSheetId="3">#REF!</definedName>
    <definedName name="u" localSheetId="28">#REF!</definedName>
    <definedName name="u" localSheetId="30">#REF!</definedName>
    <definedName name="u" localSheetId="4">#REF!</definedName>
    <definedName name="u" localSheetId="31">#REF!</definedName>
    <definedName name="u" localSheetId="34">#REF!</definedName>
    <definedName name="u" localSheetId="5">#REF!</definedName>
    <definedName name="u" localSheetId="6">#REF!</definedName>
    <definedName name="u" localSheetId="7">#REF!</definedName>
    <definedName name="u" localSheetId="8">#REF!</definedName>
    <definedName name="u" localSheetId="9">#REF!</definedName>
    <definedName name="u" localSheetId="10">#REF!</definedName>
    <definedName name="u">#REF!</definedName>
    <definedName name="ú" localSheetId="11">#REF!</definedName>
    <definedName name="ú" localSheetId="13">#REF!</definedName>
    <definedName name="ú" localSheetId="14">#REF!</definedName>
    <definedName name="ú" localSheetId="15">#REF!</definedName>
    <definedName name="ú" localSheetId="2">#REF!</definedName>
    <definedName name="ú" localSheetId="3">#REF!</definedName>
    <definedName name="ú" localSheetId="28">#REF!</definedName>
    <definedName name="ú" localSheetId="30">#REF!</definedName>
    <definedName name="ú" localSheetId="4">#REF!</definedName>
    <definedName name="ú" localSheetId="31">#REF!</definedName>
    <definedName name="ú" localSheetId="34">#REF!</definedName>
    <definedName name="ú" localSheetId="5">#REF!</definedName>
    <definedName name="ú" localSheetId="6">#REF!</definedName>
    <definedName name="ú" localSheetId="7">#REF!</definedName>
    <definedName name="ú" localSheetId="8">#REF!</definedName>
    <definedName name="ú" localSheetId="9">#REF!</definedName>
    <definedName name="ú" localSheetId="10">#REF!</definedName>
    <definedName name="ú">#REF!</definedName>
    <definedName name="új1" localSheetId="14">#REF!</definedName>
    <definedName name="új1" localSheetId="15">#REF!</definedName>
    <definedName name="új1" localSheetId="28">#REF!</definedName>
    <definedName name="új1" localSheetId="30">#REF!</definedName>
    <definedName name="új1" localSheetId="31">#REF!</definedName>
    <definedName name="új1" localSheetId="34">#REF!</definedName>
    <definedName name="új1" localSheetId="5">#REF!</definedName>
    <definedName name="új1" localSheetId="8">#REF!</definedName>
    <definedName name="új1" localSheetId="9">#REF!</definedName>
    <definedName name="új1">#REF!</definedName>
    <definedName name="új10" localSheetId="14">#REF!</definedName>
    <definedName name="új10" localSheetId="15">#REF!</definedName>
    <definedName name="új10" localSheetId="28">#REF!</definedName>
    <definedName name="új10" localSheetId="30">#REF!</definedName>
    <definedName name="új10" localSheetId="31">#REF!</definedName>
    <definedName name="új10" localSheetId="34">#REF!</definedName>
    <definedName name="új10" localSheetId="5">#REF!</definedName>
    <definedName name="új10" localSheetId="8">#REF!</definedName>
    <definedName name="új10" localSheetId="9">#REF!</definedName>
    <definedName name="új10">#REF!</definedName>
    <definedName name="új11" localSheetId="14">#REF!</definedName>
    <definedName name="új11" localSheetId="15">#REF!</definedName>
    <definedName name="új11" localSheetId="28">#REF!</definedName>
    <definedName name="új11" localSheetId="30">#REF!</definedName>
    <definedName name="új11" localSheetId="31">#REF!</definedName>
    <definedName name="új11" localSheetId="34">#REF!</definedName>
    <definedName name="új11" localSheetId="5">#REF!</definedName>
    <definedName name="új11" localSheetId="8">#REF!</definedName>
    <definedName name="új11" localSheetId="9">#REF!</definedName>
    <definedName name="új11">#REF!</definedName>
    <definedName name="új12" localSheetId="14">#REF!</definedName>
    <definedName name="új12" localSheetId="15">#REF!</definedName>
    <definedName name="új12" localSheetId="28">#REF!</definedName>
    <definedName name="új12" localSheetId="30">#REF!</definedName>
    <definedName name="új12" localSheetId="31">#REF!</definedName>
    <definedName name="új12" localSheetId="34">#REF!</definedName>
    <definedName name="új12" localSheetId="5">#REF!</definedName>
    <definedName name="új12" localSheetId="8">#REF!</definedName>
    <definedName name="új12" localSheetId="9">#REF!</definedName>
    <definedName name="új12">#REF!</definedName>
    <definedName name="új13" localSheetId="14">#REF!</definedName>
    <definedName name="új13" localSheetId="15">#REF!</definedName>
    <definedName name="új13" localSheetId="28">#REF!</definedName>
    <definedName name="új13" localSheetId="30">#REF!</definedName>
    <definedName name="új13" localSheetId="31">#REF!</definedName>
    <definedName name="új13" localSheetId="34">#REF!</definedName>
    <definedName name="új13" localSheetId="5">#REF!</definedName>
    <definedName name="új13" localSheetId="8">#REF!</definedName>
    <definedName name="új13" localSheetId="9">#REF!</definedName>
    <definedName name="új13">#REF!</definedName>
    <definedName name="új14" localSheetId="14">#REF!</definedName>
    <definedName name="új14" localSheetId="15">#REF!</definedName>
    <definedName name="új14" localSheetId="28">#REF!</definedName>
    <definedName name="új14" localSheetId="30">#REF!</definedName>
    <definedName name="új14" localSheetId="31">#REF!</definedName>
    <definedName name="új14" localSheetId="34">#REF!</definedName>
    <definedName name="új14" localSheetId="5">#REF!</definedName>
    <definedName name="új14" localSheetId="8">#REF!</definedName>
    <definedName name="új14" localSheetId="9">#REF!</definedName>
    <definedName name="új14">#REF!</definedName>
    <definedName name="új15" localSheetId="14">#REF!</definedName>
    <definedName name="új15" localSheetId="15">#REF!</definedName>
    <definedName name="új15" localSheetId="28">#REF!</definedName>
    <definedName name="új15" localSheetId="30">#REF!</definedName>
    <definedName name="új15" localSheetId="31">#REF!</definedName>
    <definedName name="új15" localSheetId="34">#REF!</definedName>
    <definedName name="új15" localSheetId="5">#REF!</definedName>
    <definedName name="új15" localSheetId="8">#REF!</definedName>
    <definedName name="új15" localSheetId="9">#REF!</definedName>
    <definedName name="új15">#REF!</definedName>
    <definedName name="új16" localSheetId="14">#REF!</definedName>
    <definedName name="új16" localSheetId="15">#REF!</definedName>
    <definedName name="új16" localSheetId="28">#REF!</definedName>
    <definedName name="új16" localSheetId="30">#REF!</definedName>
    <definedName name="új16" localSheetId="31">#REF!</definedName>
    <definedName name="új16" localSheetId="34">#REF!</definedName>
    <definedName name="új16" localSheetId="5">#REF!</definedName>
    <definedName name="új16" localSheetId="8">#REF!</definedName>
    <definedName name="új16" localSheetId="9">#REF!</definedName>
    <definedName name="új16">#REF!</definedName>
    <definedName name="új2" localSheetId="14">#REF!</definedName>
    <definedName name="új2" localSheetId="15">#REF!</definedName>
    <definedName name="új2" localSheetId="28">#REF!</definedName>
    <definedName name="új2" localSheetId="30">#REF!</definedName>
    <definedName name="új2" localSheetId="31">#REF!</definedName>
    <definedName name="új2" localSheetId="34">#REF!</definedName>
    <definedName name="új2" localSheetId="5">#REF!</definedName>
    <definedName name="új2" localSheetId="8">#REF!</definedName>
    <definedName name="új2" localSheetId="9">#REF!</definedName>
    <definedName name="új2">#REF!</definedName>
    <definedName name="új3" localSheetId="14">#REF!</definedName>
    <definedName name="új3" localSheetId="15">#REF!</definedName>
    <definedName name="új3" localSheetId="28">#REF!</definedName>
    <definedName name="új3" localSheetId="30">#REF!</definedName>
    <definedName name="új3" localSheetId="31">#REF!</definedName>
    <definedName name="új3" localSheetId="34">#REF!</definedName>
    <definedName name="új3" localSheetId="5">#REF!</definedName>
    <definedName name="új3" localSheetId="8">#REF!</definedName>
    <definedName name="új3" localSheetId="9">#REF!</definedName>
    <definedName name="új3">#REF!</definedName>
    <definedName name="új4" localSheetId="14">#REF!</definedName>
    <definedName name="új4" localSheetId="15">#REF!</definedName>
    <definedName name="új4" localSheetId="28">#REF!</definedName>
    <definedName name="új4" localSheetId="30">#REF!</definedName>
    <definedName name="új4" localSheetId="31">#REF!</definedName>
    <definedName name="új4" localSheetId="34">#REF!</definedName>
    <definedName name="új4" localSheetId="5">#REF!</definedName>
    <definedName name="új4" localSheetId="8">#REF!</definedName>
    <definedName name="új4" localSheetId="9">#REF!</definedName>
    <definedName name="új4">#REF!</definedName>
    <definedName name="új5" localSheetId="14">#REF!</definedName>
    <definedName name="új5" localSheetId="15">#REF!</definedName>
    <definedName name="új5" localSheetId="28">#REF!</definedName>
    <definedName name="új5" localSheetId="30">#REF!</definedName>
    <definedName name="új5" localSheetId="31">#REF!</definedName>
    <definedName name="új5" localSheetId="34">#REF!</definedName>
    <definedName name="új5" localSheetId="5">#REF!</definedName>
    <definedName name="új5" localSheetId="8">#REF!</definedName>
    <definedName name="új5" localSheetId="9">#REF!</definedName>
    <definedName name="új5">#REF!</definedName>
    <definedName name="új6" localSheetId="14">#REF!</definedName>
    <definedName name="új6" localSheetId="15">#REF!</definedName>
    <definedName name="új6" localSheetId="28">#REF!</definedName>
    <definedName name="új6" localSheetId="30">#REF!</definedName>
    <definedName name="új6" localSheetId="31">#REF!</definedName>
    <definedName name="új6" localSheetId="34">#REF!</definedName>
    <definedName name="új6" localSheetId="5">#REF!</definedName>
    <definedName name="új6" localSheetId="8">#REF!</definedName>
    <definedName name="új6" localSheetId="9">#REF!</definedName>
    <definedName name="új6">#REF!</definedName>
    <definedName name="új7" localSheetId="14">#REF!</definedName>
    <definedName name="új7" localSheetId="15">#REF!</definedName>
    <definedName name="új7" localSheetId="28">#REF!</definedName>
    <definedName name="új7" localSheetId="30">#REF!</definedName>
    <definedName name="új7" localSheetId="31">#REF!</definedName>
    <definedName name="új7" localSheetId="34">#REF!</definedName>
    <definedName name="új7" localSheetId="5">#REF!</definedName>
    <definedName name="új7" localSheetId="8">#REF!</definedName>
    <definedName name="új7" localSheetId="9">#REF!</definedName>
    <definedName name="új7">#REF!</definedName>
    <definedName name="új8" localSheetId="14">#REF!</definedName>
    <definedName name="új8" localSheetId="15">#REF!</definedName>
    <definedName name="új8" localSheetId="28">#REF!</definedName>
    <definedName name="új8" localSheetId="30">#REF!</definedName>
    <definedName name="új8" localSheetId="31">#REF!</definedName>
    <definedName name="új8" localSheetId="34">#REF!</definedName>
    <definedName name="új8" localSheetId="5">#REF!</definedName>
    <definedName name="új8" localSheetId="8">#REF!</definedName>
    <definedName name="új8" localSheetId="9">#REF!</definedName>
    <definedName name="új8">#REF!</definedName>
    <definedName name="új9" localSheetId="14">#REF!</definedName>
    <definedName name="új9" localSheetId="15">#REF!</definedName>
    <definedName name="új9" localSheetId="28">#REF!</definedName>
    <definedName name="új9" localSheetId="30">#REF!</definedName>
    <definedName name="új9" localSheetId="31">#REF!</definedName>
    <definedName name="új9" localSheetId="34">#REF!</definedName>
    <definedName name="új9" localSheetId="5">#REF!</definedName>
    <definedName name="új9" localSheetId="8">#REF!</definedName>
    <definedName name="új9" localSheetId="9">#REF!</definedName>
    <definedName name="új9">#REF!</definedName>
    <definedName name="ü" localSheetId="11">#REF!</definedName>
    <definedName name="ü" localSheetId="13">#REF!</definedName>
    <definedName name="ü" localSheetId="14">#REF!</definedName>
    <definedName name="ü" localSheetId="15">#REF!</definedName>
    <definedName name="ü" localSheetId="2">#REF!</definedName>
    <definedName name="ü" localSheetId="3">#REF!</definedName>
    <definedName name="ü" localSheetId="28">#REF!</definedName>
    <definedName name="ü" localSheetId="30">#REF!</definedName>
    <definedName name="ü" localSheetId="4">#REF!</definedName>
    <definedName name="ü" localSheetId="31">#REF!</definedName>
    <definedName name="ü" localSheetId="34">#REF!</definedName>
    <definedName name="ü" localSheetId="5">#REF!</definedName>
    <definedName name="ü" localSheetId="6">#REF!</definedName>
    <definedName name="ü" localSheetId="7">#REF!</definedName>
    <definedName name="ü" localSheetId="8">#REF!</definedName>
    <definedName name="ü" localSheetId="9">#REF!</definedName>
    <definedName name="ü" localSheetId="10">#REF!</definedName>
    <definedName name="ü">#REF!</definedName>
    <definedName name="w" localSheetId="14">#REF!</definedName>
    <definedName name="w" localSheetId="15">#REF!</definedName>
    <definedName name="w" localSheetId="28">#REF!</definedName>
    <definedName name="w" localSheetId="30">#REF!</definedName>
    <definedName name="w" localSheetId="31">#REF!</definedName>
    <definedName name="w" localSheetId="34">#REF!</definedName>
    <definedName name="w" localSheetId="5">#REF!</definedName>
    <definedName name="w" localSheetId="8">#REF!</definedName>
    <definedName name="w" localSheetId="9">#REF!</definedName>
    <definedName name="w">#REF!</definedName>
    <definedName name="X" localSheetId="11">#REF!</definedName>
    <definedName name="X" localSheetId="13">#REF!</definedName>
    <definedName name="X" localSheetId="14">#REF!</definedName>
    <definedName name="X" localSheetId="15">#REF!</definedName>
    <definedName name="X" localSheetId="2">#REF!</definedName>
    <definedName name="X" localSheetId="3">#REF!</definedName>
    <definedName name="X" localSheetId="27">#REF!</definedName>
    <definedName name="X" localSheetId="28">#REF!</definedName>
    <definedName name="X" localSheetId="29">#REF!</definedName>
    <definedName name="X" localSheetId="30">#REF!</definedName>
    <definedName name="X" localSheetId="4">#REF!</definedName>
    <definedName name="X" localSheetId="31">#REF!</definedName>
    <definedName name="X" localSheetId="32">#REF!</definedName>
    <definedName name="X" localSheetId="3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0">#N/A</definedName>
    <definedName name="X">#REF!</definedName>
    <definedName name="z" localSheetId="11">#REF!</definedName>
    <definedName name="z" localSheetId="13">#REF!</definedName>
    <definedName name="z" localSheetId="14">#REF!</definedName>
    <definedName name="z" localSheetId="15">#REF!</definedName>
    <definedName name="z" localSheetId="2">#REF!</definedName>
    <definedName name="z" localSheetId="3">#REF!</definedName>
    <definedName name="z" localSheetId="28">#REF!</definedName>
    <definedName name="z" localSheetId="30">#REF!</definedName>
    <definedName name="z" localSheetId="4">#REF!</definedName>
    <definedName name="z" localSheetId="31">#REF!</definedName>
    <definedName name="z" localSheetId="3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D11" i="39" l="1"/>
  <c r="D19" i="97" l="1"/>
  <c r="E19" i="97"/>
  <c r="E18" i="38" l="1"/>
  <c r="F48" i="97"/>
  <c r="D49" i="97"/>
  <c r="E49" i="97"/>
  <c r="F49" i="97" l="1"/>
  <c r="F19" i="97"/>
  <c r="G18" i="97"/>
  <c r="E18" i="97"/>
  <c r="B31" i="48" l="1"/>
  <c r="B27" i="48"/>
  <c r="D36" i="106" l="1"/>
  <c r="D20" i="40" l="1"/>
  <c r="D15" i="40"/>
  <c r="D14" i="40" l="1"/>
  <c r="E13" i="40" l="1"/>
  <c r="F13" i="40"/>
  <c r="D11" i="40"/>
  <c r="D13" i="40" s="1"/>
  <c r="E38" i="48" l="1"/>
  <c r="F38" i="48"/>
  <c r="C38" i="48"/>
  <c r="D38" i="48"/>
  <c r="F37" i="48"/>
  <c r="D37" i="48"/>
  <c r="C37" i="48"/>
  <c r="G35" i="6" l="1"/>
  <c r="G33" i="6"/>
  <c r="D27" i="41"/>
  <c r="H17" i="93"/>
  <c r="F9" i="68"/>
  <c r="E9" i="82" l="1"/>
  <c r="G9" i="82"/>
  <c r="D36" i="48"/>
  <c r="F30" i="93" l="1"/>
  <c r="D9" i="68" l="1"/>
  <c r="E11" i="39"/>
  <c r="K9" i="82"/>
  <c r="D18" i="40" l="1"/>
  <c r="C31" i="48" l="1"/>
  <c r="F25" i="91"/>
  <c r="E25" i="91"/>
  <c r="F26" i="82"/>
  <c r="O26" i="82" s="1"/>
  <c r="C27" i="82"/>
  <c r="G15" i="82" l="1"/>
  <c r="C15" i="82"/>
  <c r="D15" i="82"/>
  <c r="E15" i="82"/>
  <c r="F15" i="82"/>
  <c r="H15" i="82"/>
  <c r="I15" i="82"/>
  <c r="J15" i="82"/>
  <c r="K15" i="82"/>
  <c r="L15" i="82"/>
  <c r="M15" i="82"/>
  <c r="N15" i="82"/>
  <c r="G14" i="82"/>
  <c r="O14" i="82" s="1"/>
  <c r="O15" i="82" l="1"/>
  <c r="E13" i="6"/>
  <c r="G37" i="92"/>
  <c r="D15" i="106"/>
  <c r="D20" i="41"/>
  <c r="O9" i="82" l="1"/>
  <c r="C32" i="107"/>
  <c r="D35" i="106"/>
  <c r="D34" i="106"/>
  <c r="D32" i="106"/>
  <c r="A3" i="113"/>
  <c r="E73" i="113"/>
  <c r="F73" i="113" s="1"/>
  <c r="F72" i="113"/>
  <c r="E72" i="113"/>
  <c r="F71" i="113"/>
  <c r="F70" i="113"/>
  <c r="E70" i="113"/>
  <c r="F69" i="113"/>
  <c r="E69" i="113"/>
  <c r="F68" i="113"/>
  <c r="E68" i="113"/>
  <c r="F67" i="113"/>
  <c r="E67" i="113"/>
  <c r="E66" i="113"/>
  <c r="F65" i="113"/>
  <c r="E65" i="113"/>
  <c r="F64" i="113"/>
  <c r="F63" i="113"/>
  <c r="F59" i="113"/>
  <c r="E59" i="113"/>
  <c r="E56" i="113"/>
  <c r="E55" i="113"/>
  <c r="C55" i="113"/>
  <c r="E53" i="113"/>
  <c r="E52" i="113"/>
  <c r="C48" i="113"/>
  <c r="F61" i="113" s="1"/>
  <c r="E46" i="113"/>
  <c r="C46" i="113"/>
  <c r="C45" i="113"/>
  <c r="E44" i="113"/>
  <c r="D44" i="113"/>
  <c r="C43" i="113"/>
  <c r="E42" i="113"/>
  <c r="F42" i="113" s="1"/>
  <c r="C42" i="113"/>
  <c r="E41" i="113"/>
  <c r="D41" i="113"/>
  <c r="C41" i="113"/>
  <c r="E40" i="113"/>
  <c r="D40" i="113"/>
  <c r="C39" i="113"/>
  <c r="C38" i="113"/>
  <c r="F33" i="113"/>
  <c r="E33" i="113"/>
  <c r="C33" i="113"/>
  <c r="E31" i="113"/>
  <c r="F30" i="113"/>
  <c r="E30" i="113"/>
  <c r="D30" i="113"/>
  <c r="E29" i="113"/>
  <c r="D29" i="113"/>
  <c r="E28" i="113"/>
  <c r="F28" i="113" s="1"/>
  <c r="D28" i="113"/>
  <c r="F27" i="113"/>
  <c r="E27" i="113"/>
  <c r="D27" i="113"/>
  <c r="E26" i="113"/>
  <c r="D26" i="113"/>
  <c r="E25" i="113"/>
  <c r="D25" i="113"/>
  <c r="E24" i="113"/>
  <c r="F24" i="113" s="1"/>
  <c r="D24" i="113"/>
  <c r="F23" i="113"/>
  <c r="E23" i="113"/>
  <c r="E34" i="113" s="1"/>
  <c r="D23" i="113"/>
  <c r="E19" i="113"/>
  <c r="E48" i="113" s="1"/>
  <c r="C19" i="113"/>
  <c r="E17" i="113"/>
  <c r="E15" i="113"/>
  <c r="E45" i="113" s="1"/>
  <c r="F45" i="113" s="1"/>
  <c r="D15" i="113"/>
  <c r="E13" i="113"/>
  <c r="E43" i="113" s="1"/>
  <c r="F43" i="113" s="1"/>
  <c r="D13" i="113"/>
  <c r="F12" i="113"/>
  <c r="E12" i="113"/>
  <c r="D12" i="113"/>
  <c r="E11" i="113"/>
  <c r="D11" i="113"/>
  <c r="E9" i="113"/>
  <c r="D9" i="113"/>
  <c r="E8" i="113"/>
  <c r="E38" i="113" s="1"/>
  <c r="F38" i="113" s="1"/>
  <c r="D8" i="113"/>
  <c r="F34" i="113" l="1"/>
  <c r="E20" i="113"/>
  <c r="F20" i="113" s="1"/>
  <c r="F8" i="113"/>
  <c r="E39" i="113"/>
  <c r="F39" i="113" l="1"/>
  <c r="D39" i="113"/>
  <c r="E49" i="113"/>
  <c r="F49" i="113" s="1"/>
  <c r="E21" i="112" l="1"/>
  <c r="E33" i="112"/>
  <c r="C27" i="112"/>
  <c r="E27" i="112" s="1"/>
  <c r="D39" i="112"/>
  <c r="C16" i="112"/>
  <c r="C17" i="112" s="1"/>
  <c r="A2" i="112"/>
  <c r="C39" i="112"/>
  <c r="B39" i="112"/>
  <c r="E37" i="112"/>
  <c r="E36" i="112"/>
  <c r="B28" i="112"/>
  <c r="E26" i="112"/>
  <c r="E25" i="112"/>
  <c r="B17" i="112"/>
  <c r="E15" i="112"/>
  <c r="C11" i="112"/>
  <c r="B11" i="112"/>
  <c r="E10" i="112"/>
  <c r="E9" i="112"/>
  <c r="E8" i="112"/>
  <c r="E16" i="112" l="1"/>
  <c r="E28" i="112"/>
  <c r="E11" i="112"/>
  <c r="E17" i="112"/>
  <c r="E38" i="112"/>
  <c r="E39" i="112" s="1"/>
  <c r="C28" i="112"/>
  <c r="H43" i="45"/>
  <c r="H41" i="45"/>
  <c r="H40" i="45"/>
  <c r="H36" i="45"/>
  <c r="H21" i="45"/>
  <c r="D26" i="31"/>
  <c r="E21" i="92" l="1"/>
  <c r="H29" i="18" l="1"/>
  <c r="H28" i="18"/>
  <c r="H26" i="18"/>
  <c r="H25" i="18"/>
  <c r="E13" i="23" l="1"/>
  <c r="G32" i="92" l="1"/>
  <c r="G30" i="92" l="1"/>
  <c r="G42" i="6"/>
  <c r="G43" i="6"/>
  <c r="G41" i="6"/>
  <c r="E23" i="6" l="1"/>
  <c r="E15" i="87" l="1"/>
  <c r="F50" i="90" l="1"/>
  <c r="F47" i="90"/>
  <c r="E47" i="90"/>
  <c r="E45" i="90"/>
  <c r="E42" i="90" s="1"/>
  <c r="F45" i="90"/>
  <c r="F43" i="90"/>
  <c r="E14" i="23" l="1"/>
  <c r="G17" i="23" l="1"/>
  <c r="G14" i="23"/>
  <c r="H20" i="23"/>
  <c r="N4" i="18" l="1"/>
  <c r="G14" i="18"/>
  <c r="E29" i="39" l="1"/>
  <c r="B14" i="107" l="1"/>
  <c r="B13" i="107"/>
  <c r="C12" i="107"/>
  <c r="C15" i="107" s="1"/>
  <c r="B12" i="107" l="1"/>
  <c r="B29" i="48"/>
  <c r="B37" i="48" s="1"/>
  <c r="B38" i="48" s="1"/>
  <c r="B14" i="48"/>
  <c r="F40" i="93" l="1"/>
  <c r="E64" i="104"/>
  <c r="D35" i="104"/>
  <c r="C60" i="103"/>
  <c r="C64" i="103"/>
  <c r="C54" i="103"/>
  <c r="C44" i="103"/>
  <c r="C59" i="103" s="1"/>
  <c r="C61" i="103" s="1"/>
  <c r="C65" i="103" s="1"/>
  <c r="C45" i="103"/>
  <c r="C46" i="103"/>
  <c r="C38" i="103"/>
  <c r="C39" i="103"/>
  <c r="C30" i="103"/>
  <c r="C21" i="103"/>
  <c r="C23" i="103" s="1"/>
  <c r="C29" i="103" s="1"/>
  <c r="C32" i="103" s="1"/>
  <c r="C44" i="102"/>
  <c r="C45" i="102"/>
  <c r="C59" i="102" s="1"/>
  <c r="C46" i="102"/>
  <c r="C54" i="102"/>
  <c r="C60" i="102" s="1"/>
  <c r="C64" i="102"/>
  <c r="C29" i="102"/>
  <c r="C30" i="102"/>
  <c r="C38" i="102"/>
  <c r="C39" i="102" s="1"/>
  <c r="C64" i="101"/>
  <c r="C65" i="101"/>
  <c r="C59" i="101"/>
  <c r="C60" i="101"/>
  <c r="C33" i="101" s="1"/>
  <c r="C39" i="101"/>
  <c r="C40" i="101"/>
  <c r="C29" i="101"/>
  <c r="C31" i="101" s="1"/>
  <c r="C30" i="101"/>
  <c r="C32" i="101"/>
  <c r="C23" i="101"/>
  <c r="C44" i="109"/>
  <c r="C59" i="109" s="1"/>
  <c r="C45" i="109"/>
  <c r="C54" i="109"/>
  <c r="C60" i="109" s="1"/>
  <c r="C64" i="109"/>
  <c r="C38" i="109"/>
  <c r="C39" i="109"/>
  <c r="C40" i="109"/>
  <c r="C23" i="109"/>
  <c r="C29" i="109"/>
  <c r="C30" i="109"/>
  <c r="C31" i="109"/>
  <c r="C44" i="108"/>
  <c r="C45" i="108"/>
  <c r="C54" i="108"/>
  <c r="C60" i="108" s="1"/>
  <c r="C64" i="108"/>
  <c r="C29" i="108"/>
  <c r="C30" i="108"/>
  <c r="C31" i="108"/>
  <c r="C38" i="108"/>
  <c r="C39" i="108"/>
  <c r="C40" i="108"/>
  <c r="C23" i="108"/>
  <c r="C64" i="98"/>
  <c r="C65" i="98"/>
  <c r="C59" i="98"/>
  <c r="C61" i="98" s="1"/>
  <c r="C60" i="98"/>
  <c r="C39" i="98"/>
  <c r="C29" i="98"/>
  <c r="C31" i="98" s="1"/>
  <c r="C40" i="98" s="1"/>
  <c r="C30" i="98"/>
  <c r="C11" i="98"/>
  <c r="C68" i="97"/>
  <c r="C69" i="97"/>
  <c r="C63" i="97"/>
  <c r="C64" i="97"/>
  <c r="C65" i="97"/>
  <c r="C42" i="97"/>
  <c r="C33" i="97"/>
  <c r="D25" i="97"/>
  <c r="C26" i="97"/>
  <c r="C32" i="97" s="1"/>
  <c r="C70" i="104"/>
  <c r="C64" i="104"/>
  <c r="C66" i="104" s="1"/>
  <c r="C71" i="104" s="1"/>
  <c r="C65" i="104"/>
  <c r="C38" i="104"/>
  <c r="C40" i="104" s="1"/>
  <c r="C30" i="104"/>
  <c r="C28" i="104"/>
  <c r="C23" i="104"/>
  <c r="C15" i="104"/>
  <c r="C29" i="104" s="1"/>
  <c r="C10" i="104"/>
  <c r="D30" i="40"/>
  <c r="D34" i="40" s="1"/>
  <c r="D54" i="103"/>
  <c r="D54" i="102"/>
  <c r="D54" i="101"/>
  <c r="D54" i="109"/>
  <c r="D46" i="109"/>
  <c r="D54" i="108"/>
  <c r="D46" i="108"/>
  <c r="C59" i="108" l="1"/>
  <c r="C33" i="103"/>
  <c r="C31" i="103"/>
  <c r="C40" i="103" s="1"/>
  <c r="C61" i="102"/>
  <c r="C65" i="102" s="1"/>
  <c r="C32" i="102"/>
  <c r="C33" i="102"/>
  <c r="C31" i="102"/>
  <c r="C40" i="102" s="1"/>
  <c r="C61" i="101"/>
  <c r="C32" i="109"/>
  <c r="C61" i="109"/>
  <c r="C65" i="109" s="1"/>
  <c r="C33" i="109"/>
  <c r="C32" i="108"/>
  <c r="C61" i="108"/>
  <c r="C65" i="108" s="1"/>
  <c r="C33" i="108"/>
  <c r="C32" i="98"/>
  <c r="C33" i="98"/>
  <c r="C36" i="97"/>
  <c r="C34" i="97"/>
  <c r="C43" i="97" s="1"/>
  <c r="C35" i="97"/>
  <c r="C33" i="104"/>
  <c r="C31" i="104"/>
  <c r="C32" i="104"/>
  <c r="C41" i="104"/>
  <c r="F35" i="93" l="1"/>
  <c r="D46" i="104"/>
  <c r="F29" i="93" l="1"/>
  <c r="F34" i="93"/>
  <c r="E16" i="6" l="1"/>
  <c r="F28" i="93" l="1"/>
  <c r="F26" i="40" l="1"/>
  <c r="F34" i="40" s="1"/>
  <c r="G13" i="23" l="1"/>
  <c r="G16" i="23"/>
  <c r="E37" i="92" l="1"/>
  <c r="G32" i="6" l="1"/>
  <c r="G31" i="6"/>
  <c r="G30" i="6"/>
  <c r="G29" i="6"/>
  <c r="G33" i="92"/>
  <c r="G34" i="92"/>
  <c r="G35" i="92"/>
  <c r="G36" i="92"/>
  <c r="G31" i="92"/>
  <c r="D10" i="41" l="1"/>
  <c r="F45" i="93"/>
  <c r="D20" i="6" l="1"/>
  <c r="E19" i="6"/>
  <c r="D19" i="6"/>
  <c r="D13" i="6"/>
  <c r="C11" i="82" l="1"/>
  <c r="D11" i="82" s="1"/>
  <c r="E11" i="82" s="1"/>
  <c r="F11" i="82" s="1"/>
  <c r="G11" i="82" s="1"/>
  <c r="H11" i="82" s="1"/>
  <c r="I11" i="82" s="1"/>
  <c r="J11" i="82" s="1"/>
  <c r="K11" i="82" s="1"/>
  <c r="L11" i="82" s="1"/>
  <c r="M11" i="82" s="1"/>
  <c r="N11" i="82" s="1"/>
  <c r="F56" i="93" l="1"/>
  <c r="F54" i="93"/>
  <c r="D49" i="104" l="1"/>
  <c r="E17" i="39" l="1"/>
  <c r="E19" i="39"/>
  <c r="N37" i="45" l="1"/>
  <c r="N38" i="45"/>
  <c r="N40" i="45"/>
  <c r="N41" i="45"/>
  <c r="N42" i="45"/>
  <c r="N43" i="45"/>
  <c r="N44" i="45"/>
  <c r="N45" i="45"/>
  <c r="N46" i="45"/>
  <c r="N36" i="45"/>
  <c r="N22" i="45"/>
  <c r="N23" i="45"/>
  <c r="N17" i="45"/>
  <c r="N18" i="45"/>
  <c r="N19" i="45"/>
  <c r="N16" i="45"/>
  <c r="N13" i="45"/>
  <c r="N48" i="45"/>
  <c r="D45" i="103"/>
  <c r="D46" i="103"/>
  <c r="D21" i="103"/>
  <c r="D45" i="102"/>
  <c r="D46" i="102"/>
  <c r="D45" i="101"/>
  <c r="D46" i="101"/>
  <c r="F17" i="101"/>
  <c r="G17" i="101" s="1"/>
  <c r="D45" i="109"/>
  <c r="E18" i="109"/>
  <c r="F18" i="109" s="1"/>
  <c r="D45" i="108"/>
  <c r="D44" i="108"/>
  <c r="E18" i="108"/>
  <c r="F18" i="108" s="1"/>
  <c r="L22" i="45"/>
  <c r="D12" i="41" l="1"/>
  <c r="D22" i="41" s="1"/>
  <c r="D57" i="104" l="1"/>
  <c r="D20" i="88"/>
  <c r="D19" i="40"/>
  <c r="E25" i="6" l="1"/>
  <c r="D23" i="40" l="1"/>
  <c r="D19" i="88" l="1"/>
  <c r="D24" i="88" s="1"/>
  <c r="F22" i="93" l="1"/>
  <c r="H29" i="93"/>
  <c r="E35" i="6"/>
  <c r="H22" i="93" l="1"/>
  <c r="H9" i="31" l="1"/>
  <c r="K17" i="87"/>
  <c r="H24" i="93" l="1"/>
  <c r="G50" i="6" l="1"/>
  <c r="G15" i="6"/>
  <c r="H56" i="93" l="1"/>
  <c r="H40" i="93"/>
  <c r="H19" i="93"/>
  <c r="F22" i="6" l="1"/>
  <c r="G28" i="6"/>
  <c r="E27" i="6" l="1"/>
  <c r="E26" i="6"/>
  <c r="F25" i="38" l="1"/>
  <c r="G24" i="38"/>
  <c r="F24" i="38"/>
  <c r="E24" i="38"/>
  <c r="D24" i="38"/>
  <c r="N14" i="45" l="1"/>
  <c r="E17" i="87" l="1"/>
  <c r="E21" i="87"/>
  <c r="F70" i="90" l="1"/>
  <c r="E66" i="90"/>
  <c r="F63" i="90"/>
  <c r="E63" i="90"/>
  <c r="F54" i="90"/>
  <c r="E54" i="90"/>
  <c r="F37" i="90"/>
  <c r="E37" i="90"/>
  <c r="F33" i="90"/>
  <c r="E33" i="90"/>
  <c r="E30" i="90"/>
  <c r="D8" i="87" s="1"/>
  <c r="F25" i="90"/>
  <c r="F14" i="90"/>
  <c r="F30" i="90" s="1"/>
  <c r="E8" i="87" s="1"/>
  <c r="F13" i="90"/>
  <c r="E32" i="90" l="1"/>
  <c r="E50" i="90" s="1"/>
  <c r="D9" i="87" s="1"/>
  <c r="F42" i="90"/>
  <c r="F14" i="18"/>
  <c r="F17" i="18" s="1"/>
  <c r="E18" i="18"/>
  <c r="C10" i="91"/>
  <c r="D39" i="39" l="1"/>
  <c r="C23" i="68" l="1"/>
  <c r="E29" i="23"/>
  <c r="E13" i="39"/>
  <c r="E22" i="39" s="1"/>
  <c r="E27" i="39" l="1"/>
  <c r="G39" i="96" l="1"/>
  <c r="F39" i="96"/>
  <c r="E39" i="96"/>
  <c r="D39" i="96"/>
  <c r="C39" i="96"/>
  <c r="L26" i="91"/>
  <c r="F28" i="91"/>
  <c r="K13" i="18" l="1"/>
  <c r="E13" i="18"/>
  <c r="F13" i="18"/>
  <c r="D57" i="98"/>
  <c r="D56" i="98"/>
  <c r="D55" i="98"/>
  <c r="D54" i="98"/>
  <c r="D53" i="98"/>
  <c r="D49" i="98"/>
  <c r="D48" i="98"/>
  <c r="D47" i="98"/>
  <c r="D46" i="98"/>
  <c r="D45" i="98"/>
  <c r="D36" i="98"/>
  <c r="D35" i="98"/>
  <c r="D34" i="98"/>
  <c r="D27" i="98"/>
  <c r="D26" i="98"/>
  <c r="D22" i="98"/>
  <c r="D21" i="98"/>
  <c r="D20" i="98"/>
  <c r="D19" i="98"/>
  <c r="D18" i="98"/>
  <c r="D17" i="98"/>
  <c r="D15" i="98"/>
  <c r="D14" i="98"/>
  <c r="D13" i="98"/>
  <c r="D10" i="98"/>
  <c r="D9" i="98"/>
  <c r="D53" i="97" l="1"/>
  <c r="D52" i="97"/>
  <c r="D48" i="97"/>
  <c r="D39" i="97"/>
  <c r="D38" i="97"/>
  <c r="D37" i="97"/>
  <c r="D30" i="97"/>
  <c r="D29" i="97"/>
  <c r="D55" i="104"/>
  <c r="K21" i="45"/>
  <c r="L51" i="45"/>
  <c r="L39" i="45"/>
  <c r="L32" i="45"/>
  <c r="L26" i="45"/>
  <c r="L25" i="45"/>
  <c r="L21" i="45"/>
  <c r="L14" i="45"/>
  <c r="J51" i="45"/>
  <c r="J39" i="45"/>
  <c r="D44" i="102" s="1"/>
  <c r="J32" i="45"/>
  <c r="J26" i="45"/>
  <c r="J25" i="45"/>
  <c r="J21" i="45"/>
  <c r="J14" i="45"/>
  <c r="J24" i="45" s="1"/>
  <c r="H51" i="45"/>
  <c r="H39" i="45"/>
  <c r="H32" i="45"/>
  <c r="N32" i="45" s="1"/>
  <c r="H26" i="45"/>
  <c r="H25" i="45"/>
  <c r="H14" i="45"/>
  <c r="F51" i="45"/>
  <c r="F39" i="45"/>
  <c r="F32" i="45"/>
  <c r="F26" i="45"/>
  <c r="F25" i="45"/>
  <c r="F21" i="45"/>
  <c r="F14" i="45"/>
  <c r="E11" i="23"/>
  <c r="D7" i="6"/>
  <c r="D9" i="6"/>
  <c r="D23" i="6"/>
  <c r="D24" i="6" s="1"/>
  <c r="D25" i="6"/>
  <c r="D26" i="6"/>
  <c r="D27" i="6"/>
  <c r="D35" i="6"/>
  <c r="D36" i="6"/>
  <c r="D40" i="6" s="1"/>
  <c r="D44" i="6"/>
  <c r="D49" i="6"/>
  <c r="D14" i="45"/>
  <c r="E14" i="45"/>
  <c r="G14" i="45"/>
  <c r="I14" i="45"/>
  <c r="K14" i="45"/>
  <c r="M14" i="45"/>
  <c r="C14" i="45"/>
  <c r="C51" i="45"/>
  <c r="C39" i="45"/>
  <c r="C47" i="45" s="1"/>
  <c r="L29" i="45" l="1"/>
  <c r="D18" i="101"/>
  <c r="N21" i="45"/>
  <c r="F47" i="45"/>
  <c r="F52" i="45" s="1"/>
  <c r="D44" i="109"/>
  <c r="N39" i="45"/>
  <c r="L24" i="45"/>
  <c r="L47" i="45"/>
  <c r="L52" i="45" s="1"/>
  <c r="D44" i="103"/>
  <c r="N26" i="45"/>
  <c r="N25" i="45"/>
  <c r="H47" i="45"/>
  <c r="H52" i="45" s="1"/>
  <c r="D44" i="101"/>
  <c r="J47" i="45"/>
  <c r="J52" i="45" s="1"/>
  <c r="F24" i="45"/>
  <c r="J29" i="45"/>
  <c r="H29" i="45"/>
  <c r="F29" i="45"/>
  <c r="H24" i="45"/>
  <c r="L27" i="45"/>
  <c r="J28" i="45"/>
  <c r="J27" i="45"/>
  <c r="D34" i="6"/>
  <c r="D51" i="6" s="1"/>
  <c r="C52" i="45"/>
  <c r="C21" i="45"/>
  <c r="C24" i="45" s="1"/>
  <c r="H27" i="45" l="1"/>
  <c r="N27" i="45" s="1"/>
  <c r="N24" i="45"/>
  <c r="F28" i="45"/>
  <c r="L33" i="45"/>
  <c r="L28" i="45"/>
  <c r="J33" i="45"/>
  <c r="D38" i="102" s="1"/>
  <c r="F27" i="45"/>
  <c r="F33" i="45" s="1"/>
  <c r="D38" i="109" s="1"/>
  <c r="H28" i="45"/>
  <c r="L34" i="45"/>
  <c r="L35" i="45" s="1"/>
  <c r="G38" i="96"/>
  <c r="J34" i="45"/>
  <c r="J35" i="45" s="1"/>
  <c r="H33" i="45" l="1"/>
  <c r="D38" i="101" s="1"/>
  <c r="F38" i="96"/>
  <c r="F34" i="45"/>
  <c r="F35" i="45" s="1"/>
  <c r="D38" i="96"/>
  <c r="D38" i="103"/>
  <c r="D25" i="41"/>
  <c r="D24" i="41"/>
  <c r="D23" i="41"/>
  <c r="E38" i="96" l="1"/>
  <c r="H34" i="45"/>
  <c r="H35" i="45" s="1"/>
  <c r="M25" i="45"/>
  <c r="K40" i="31" l="1"/>
  <c r="M40" i="31"/>
  <c r="K31" i="68"/>
  <c r="M31" i="68"/>
  <c r="D31" i="68"/>
  <c r="N31" i="68" s="1"/>
  <c r="B31" i="68"/>
  <c r="D40" i="31"/>
  <c r="N40" i="31" s="1"/>
  <c r="B40" i="31"/>
  <c r="L31" i="68" l="1"/>
  <c r="L40" i="31"/>
  <c r="G51" i="97" l="1"/>
  <c r="Q14" i="87" l="1"/>
  <c r="P14" i="87"/>
  <c r="P20" i="87" l="1"/>
  <c r="Q20" i="87"/>
  <c r="R20" i="87"/>
  <c r="S20" i="87"/>
  <c r="T20" i="87"/>
  <c r="T19" i="87"/>
  <c r="T21" i="87" s="1"/>
  <c r="Q19" i="87"/>
  <c r="R19" i="87"/>
  <c r="R21" i="87" s="1"/>
  <c r="S19" i="87"/>
  <c r="S21" i="87" l="1"/>
  <c r="Q21" i="87"/>
  <c r="E33" i="39" l="1"/>
  <c r="F23" i="40" l="1"/>
  <c r="G25" i="97" l="1"/>
  <c r="D11" i="68" l="1"/>
  <c r="D45" i="104" s="1"/>
  <c r="E68" i="97" l="1"/>
  <c r="F68" i="97"/>
  <c r="E62" i="97"/>
  <c r="E64" i="97" s="1"/>
  <c r="F62" i="97"/>
  <c r="E57" i="97"/>
  <c r="E63" i="97" s="1"/>
  <c r="F57" i="97"/>
  <c r="F63" i="97" s="1"/>
  <c r="E40" i="97"/>
  <c r="F40" i="97"/>
  <c r="E31" i="97"/>
  <c r="F31" i="97"/>
  <c r="E26" i="97"/>
  <c r="E32" i="97" s="1"/>
  <c r="F26" i="97"/>
  <c r="F32" i="97" s="1"/>
  <c r="E17" i="97"/>
  <c r="F17" i="97"/>
  <c r="E12" i="97"/>
  <c r="F12" i="97"/>
  <c r="F33" i="97" s="1"/>
  <c r="G54" i="97"/>
  <c r="G55" i="97"/>
  <c r="G56" i="97"/>
  <c r="F34" i="97" l="1"/>
  <c r="E65" i="97"/>
  <c r="E69" i="97" s="1"/>
  <c r="E33" i="97"/>
  <c r="E34" i="97" s="1"/>
  <c r="F11" i="68"/>
  <c r="D47" i="97" s="1"/>
  <c r="D25" i="45"/>
  <c r="D26" i="45"/>
  <c r="J9" i="68"/>
  <c r="J12" i="68"/>
  <c r="N12" i="68" s="1"/>
  <c r="F24" i="88"/>
  <c r="F28" i="88" s="1"/>
  <c r="E36" i="40"/>
  <c r="F36" i="40"/>
  <c r="E23" i="40"/>
  <c r="E20" i="40"/>
  <c r="F20" i="40"/>
  <c r="D28" i="68"/>
  <c r="L28" i="68" s="1"/>
  <c r="D33" i="25"/>
  <c r="G9" i="6"/>
  <c r="G45" i="6"/>
  <c r="F19" i="31"/>
  <c r="D20" i="97" s="1"/>
  <c r="E9" i="6"/>
  <c r="D13" i="31" s="1"/>
  <c r="D12" i="104" s="1"/>
  <c r="D36" i="40"/>
  <c r="D37" i="40"/>
  <c r="E23" i="39"/>
  <c r="E24" i="39"/>
  <c r="E25" i="39"/>
  <c r="E26" i="39"/>
  <c r="E31" i="39"/>
  <c r="E32" i="39" s="1"/>
  <c r="E39" i="39"/>
  <c r="E40" i="39"/>
  <c r="D15" i="68"/>
  <c r="D52" i="104" s="1"/>
  <c r="F52" i="104" s="1"/>
  <c r="G15" i="38"/>
  <c r="G14" i="38"/>
  <c r="G13" i="38"/>
  <c r="G12" i="38"/>
  <c r="E12" i="38"/>
  <c r="E13" i="38"/>
  <c r="E15" i="38"/>
  <c r="H44" i="93"/>
  <c r="H57" i="93" s="1"/>
  <c r="D29" i="31"/>
  <c r="G7" i="6"/>
  <c r="E7" i="6"/>
  <c r="D8" i="25" s="1"/>
  <c r="D22" i="25" s="1"/>
  <c r="E8" i="23" s="1"/>
  <c r="E25" i="23" s="1"/>
  <c r="E8" i="92" s="1"/>
  <c r="F7" i="93" s="1"/>
  <c r="E7" i="38" s="1"/>
  <c r="E8" i="39" s="1"/>
  <c r="D9" i="41" s="1"/>
  <c r="D10" i="40" s="1"/>
  <c r="D9" i="88" s="1"/>
  <c r="T12" i="87"/>
  <c r="T14" i="87"/>
  <c r="N11" i="31"/>
  <c r="N12" i="31" s="1"/>
  <c r="F19" i="91" s="1"/>
  <c r="Q12" i="87"/>
  <c r="N13" i="87"/>
  <c r="N21" i="87"/>
  <c r="J11" i="31" s="1"/>
  <c r="J12" i="31" s="1"/>
  <c r="K13" i="87"/>
  <c r="K18" i="87" s="1"/>
  <c r="L13" i="87"/>
  <c r="K21" i="87"/>
  <c r="H11" i="31" s="1"/>
  <c r="L21" i="87"/>
  <c r="H13" i="87"/>
  <c r="H17" i="87"/>
  <c r="F9" i="31" s="1"/>
  <c r="D11" i="97" s="1"/>
  <c r="H21" i="87"/>
  <c r="T7" i="87"/>
  <c r="Q7" i="87"/>
  <c r="N7" i="87"/>
  <c r="K7" i="87"/>
  <c r="H7" i="87"/>
  <c r="E7" i="87"/>
  <c r="J13" i="68"/>
  <c r="J34" i="68"/>
  <c r="H11" i="68"/>
  <c r="H26" i="68"/>
  <c r="H34" i="68"/>
  <c r="F19" i="68"/>
  <c r="F34" i="68"/>
  <c r="D29" i="68"/>
  <c r="L29" i="68" s="1"/>
  <c r="N8" i="68"/>
  <c r="L8" i="68"/>
  <c r="J8" i="68"/>
  <c r="H8" i="68"/>
  <c r="F8" i="68"/>
  <c r="G8" i="92" s="1"/>
  <c r="H7" i="93" s="1"/>
  <c r="G7" i="38" s="1"/>
  <c r="F10" i="40" s="1"/>
  <c r="F9" i="88" s="1"/>
  <c r="D8" i="68"/>
  <c r="N27" i="31"/>
  <c r="N37" i="31"/>
  <c r="L27" i="31"/>
  <c r="L37" i="31"/>
  <c r="J16" i="31"/>
  <c r="J28" i="31"/>
  <c r="J33" i="31"/>
  <c r="J39" i="31"/>
  <c r="H12" i="31"/>
  <c r="D12" i="98" s="1"/>
  <c r="H16" i="31"/>
  <c r="D16" i="98" s="1"/>
  <c r="H25" i="31"/>
  <c r="H28" i="31"/>
  <c r="D24" i="98" s="1"/>
  <c r="H30" i="31"/>
  <c r="D25" i="98" s="1"/>
  <c r="H33" i="31"/>
  <c r="H39" i="31"/>
  <c r="H43" i="31"/>
  <c r="F11" i="31"/>
  <c r="F12" i="31" s="1"/>
  <c r="D13" i="97" s="1"/>
  <c r="F22" i="31"/>
  <c r="F24" i="31"/>
  <c r="F28" i="31"/>
  <c r="D27" i="97" s="1"/>
  <c r="F30" i="31"/>
  <c r="D28" i="97" s="1"/>
  <c r="F33" i="31"/>
  <c r="F39" i="31"/>
  <c r="F43" i="31"/>
  <c r="D11" i="31"/>
  <c r="D12" i="31" s="1"/>
  <c r="D11" i="104" s="1"/>
  <c r="D22" i="31"/>
  <c r="D21" i="104" s="1"/>
  <c r="D24" i="31"/>
  <c r="N26" i="31"/>
  <c r="D31" i="31"/>
  <c r="D26" i="104" s="1"/>
  <c r="D32" i="31"/>
  <c r="D38" i="31"/>
  <c r="D23" i="68" l="1"/>
  <c r="L23" i="68" s="1"/>
  <c r="D61" i="104"/>
  <c r="H20" i="68"/>
  <c r="H27" i="68" s="1"/>
  <c r="H35" i="68" s="1"/>
  <c r="D44" i="98"/>
  <c r="J10" i="4"/>
  <c r="L9" i="91"/>
  <c r="N38" i="31"/>
  <c r="D34" i="104"/>
  <c r="N32" i="31"/>
  <c r="D27" i="104"/>
  <c r="D24" i="97"/>
  <c r="D23" i="97"/>
  <c r="H18" i="87"/>
  <c r="H22" i="87" s="1"/>
  <c r="D16" i="68"/>
  <c r="G11" i="38"/>
  <c r="G25" i="38" s="1"/>
  <c r="G40" i="6"/>
  <c r="F20" i="31" s="1"/>
  <c r="D21" i="97" s="1"/>
  <c r="E49" i="6"/>
  <c r="D23" i="31" s="1"/>
  <c r="D22" i="104" s="1"/>
  <c r="E44" i="6"/>
  <c r="D21" i="31" s="1"/>
  <c r="D20" i="104" s="1"/>
  <c r="G49" i="6"/>
  <c r="F23" i="31" s="1"/>
  <c r="D14" i="31"/>
  <c r="D13" i="104" s="1"/>
  <c r="G19" i="6"/>
  <c r="F15" i="31" s="1"/>
  <c r="D16" i="97" s="1"/>
  <c r="D28" i="31"/>
  <c r="D24" i="104" s="1"/>
  <c r="N22" i="31"/>
  <c r="L26" i="31"/>
  <c r="L28" i="31" s="1"/>
  <c r="F24" i="93"/>
  <c r="F44" i="93"/>
  <c r="D26" i="41"/>
  <c r="D56" i="104" s="1"/>
  <c r="F56" i="104" s="1"/>
  <c r="F8" i="31"/>
  <c r="D10" i="97" s="1"/>
  <c r="D12" i="97" s="1"/>
  <c r="F22" i="68"/>
  <c r="J21" i="68"/>
  <c r="G13" i="6"/>
  <c r="F14" i="31" s="1"/>
  <c r="D15" i="97" s="1"/>
  <c r="H36" i="31"/>
  <c r="D33" i="31"/>
  <c r="F13" i="31"/>
  <c r="L24" i="31"/>
  <c r="N23" i="68"/>
  <c r="N15" i="68"/>
  <c r="L12" i="91" s="1"/>
  <c r="L15" i="68"/>
  <c r="K12" i="91" s="1"/>
  <c r="N29" i="68"/>
  <c r="D30" i="68"/>
  <c r="D67" i="104" s="1"/>
  <c r="N28" i="68"/>
  <c r="D39" i="31"/>
  <c r="L39" i="31" s="1"/>
  <c r="L38" i="31"/>
  <c r="L32" i="31"/>
  <c r="N31" i="31"/>
  <c r="N33" i="31" s="1"/>
  <c r="L31" i="31"/>
  <c r="D30" i="31"/>
  <c r="D25" i="104" s="1"/>
  <c r="L22" i="31"/>
  <c r="N24" i="31"/>
  <c r="L11" i="31"/>
  <c r="L12" i="31" s="1"/>
  <c r="L12" i="68"/>
  <c r="L9" i="68"/>
  <c r="N9" i="68"/>
  <c r="N28" i="31"/>
  <c r="E10" i="4"/>
  <c r="F10" i="31" l="1"/>
  <c r="N39" i="31"/>
  <c r="F24" i="91"/>
  <c r="C10" i="4"/>
  <c r="C34" i="106"/>
  <c r="E19" i="91"/>
  <c r="E24" i="91"/>
  <c r="C41" i="106"/>
  <c r="L13" i="31"/>
  <c r="E12" i="91" s="1"/>
  <c r="D14" i="97"/>
  <c r="E34" i="39"/>
  <c r="N16" i="68"/>
  <c r="L13" i="91" s="1"/>
  <c r="D53" i="104"/>
  <c r="C13" i="4"/>
  <c r="E20" i="91"/>
  <c r="C35" i="106"/>
  <c r="E15" i="4"/>
  <c r="F21" i="91"/>
  <c r="E13" i="4"/>
  <c r="F20" i="91"/>
  <c r="H10" i="4"/>
  <c r="K9" i="91"/>
  <c r="C9" i="106"/>
  <c r="D9" i="106" s="1"/>
  <c r="N14" i="31"/>
  <c r="F13" i="91" s="1"/>
  <c r="F16" i="31"/>
  <c r="L14" i="31"/>
  <c r="E13" i="91" s="1"/>
  <c r="N13" i="31"/>
  <c r="F12" i="91" s="1"/>
  <c r="G20" i="6"/>
  <c r="L16" i="68"/>
  <c r="K13" i="91" s="1"/>
  <c r="J29" i="31"/>
  <c r="J30" i="31"/>
  <c r="N30" i="68"/>
  <c r="L30" i="68"/>
  <c r="L33" i="31"/>
  <c r="L23" i="91" l="1"/>
  <c r="C15" i="4"/>
  <c r="E21" i="91"/>
  <c r="C36" i="106"/>
  <c r="K23" i="91"/>
  <c r="N29" i="31"/>
  <c r="N30" i="31" s="1"/>
  <c r="L29" i="31"/>
  <c r="L30" i="31" s="1"/>
  <c r="C14" i="4" l="1"/>
  <c r="E17" i="91"/>
  <c r="C32" i="106"/>
  <c r="E14" i="4"/>
  <c r="F17" i="91"/>
  <c r="A4" i="90" l="1"/>
  <c r="A4" i="107"/>
  <c r="D30" i="39" l="1"/>
  <c r="D17" i="68" l="1"/>
  <c r="E24" i="6"/>
  <c r="C14" i="40"/>
  <c r="E39" i="31"/>
  <c r="G39" i="31"/>
  <c r="I39" i="31"/>
  <c r="L17" i="68" l="1"/>
  <c r="K14" i="91" s="1"/>
  <c r="D54" i="104"/>
  <c r="D58" i="104" s="1"/>
  <c r="N17" i="68"/>
  <c r="L14" i="91" s="1"/>
  <c r="D17" i="31"/>
  <c r="D16" i="104" s="1"/>
  <c r="C14" i="41"/>
  <c r="D14" i="23" l="1"/>
  <c r="H37" i="6"/>
  <c r="G74" i="90"/>
  <c r="G53" i="90"/>
  <c r="D42" i="31" l="1"/>
  <c r="D37" i="104" s="1"/>
  <c r="I31" i="18"/>
  <c r="L42" i="31" l="1"/>
  <c r="N42" i="31"/>
  <c r="F64" i="97"/>
  <c r="F65" i="97" s="1"/>
  <c r="F69" i="97" s="1"/>
  <c r="F35" i="97"/>
  <c r="F42" i="97"/>
  <c r="F43" i="97" s="1"/>
  <c r="A4" i="109"/>
  <c r="F64" i="109"/>
  <c r="E64" i="109"/>
  <c r="D64" i="109"/>
  <c r="E60" i="109"/>
  <c r="D60" i="109"/>
  <c r="E59" i="109"/>
  <c r="D59" i="109"/>
  <c r="F58" i="109"/>
  <c r="F57" i="109"/>
  <c r="F56" i="109"/>
  <c r="F55" i="109"/>
  <c r="F54" i="109"/>
  <c r="F53" i="109"/>
  <c r="F52" i="109"/>
  <c r="F51" i="109"/>
  <c r="F50" i="109"/>
  <c r="F49" i="109"/>
  <c r="F48" i="109"/>
  <c r="F47" i="109"/>
  <c r="F46" i="109"/>
  <c r="F45" i="109"/>
  <c r="F44" i="109"/>
  <c r="E39" i="109"/>
  <c r="D39" i="109"/>
  <c r="F38" i="109"/>
  <c r="F37" i="109"/>
  <c r="F36" i="109"/>
  <c r="F35" i="109"/>
  <c r="F34" i="109"/>
  <c r="E30" i="109"/>
  <c r="E33" i="109" s="1"/>
  <c r="D30" i="109"/>
  <c r="F28" i="109"/>
  <c r="F27" i="109"/>
  <c r="F26" i="109"/>
  <c r="F25" i="109"/>
  <c r="F24" i="109"/>
  <c r="E23" i="109"/>
  <c r="E29" i="109" s="1"/>
  <c r="D23" i="109"/>
  <c r="D29" i="109" s="1"/>
  <c r="F22" i="109"/>
  <c r="F21" i="109"/>
  <c r="F20" i="109"/>
  <c r="F19" i="109"/>
  <c r="F17" i="109"/>
  <c r="F16" i="109"/>
  <c r="F15" i="109"/>
  <c r="F14" i="109"/>
  <c r="F13" i="109"/>
  <c r="F12" i="109"/>
  <c r="F11" i="109"/>
  <c r="F10" i="109"/>
  <c r="F9" i="109"/>
  <c r="A4" i="108"/>
  <c r="F64" i="108"/>
  <c r="E64" i="108"/>
  <c r="D64" i="108"/>
  <c r="E60" i="108"/>
  <c r="D60" i="108"/>
  <c r="E59" i="108"/>
  <c r="D59" i="108"/>
  <c r="F58" i="108"/>
  <c r="F57" i="108"/>
  <c r="F56" i="108"/>
  <c r="F55" i="108"/>
  <c r="F54" i="108"/>
  <c r="F53" i="108"/>
  <c r="F52" i="108"/>
  <c r="F51" i="108"/>
  <c r="F50" i="108"/>
  <c r="F49" i="108"/>
  <c r="F48" i="108"/>
  <c r="F47" i="108"/>
  <c r="F46" i="108"/>
  <c r="F45" i="108"/>
  <c r="F44" i="108"/>
  <c r="E39" i="108"/>
  <c r="F37" i="108"/>
  <c r="F36" i="108"/>
  <c r="F35" i="108"/>
  <c r="F34" i="108"/>
  <c r="E30" i="108"/>
  <c r="D30" i="108"/>
  <c r="F28" i="108"/>
  <c r="F27" i="108"/>
  <c r="F26" i="108"/>
  <c r="F25" i="108"/>
  <c r="F24" i="108"/>
  <c r="E23" i="108"/>
  <c r="D23" i="108"/>
  <c r="D29" i="108" s="1"/>
  <c r="F22" i="108"/>
  <c r="F21" i="108"/>
  <c r="F20" i="108"/>
  <c r="F19" i="108"/>
  <c r="F17" i="108"/>
  <c r="F16" i="108"/>
  <c r="F15" i="108"/>
  <c r="F14" i="108"/>
  <c r="F13" i="108"/>
  <c r="F12" i="108"/>
  <c r="F11" i="108"/>
  <c r="F10" i="108"/>
  <c r="F9" i="108"/>
  <c r="E33" i="108" l="1"/>
  <c r="D33" i="109"/>
  <c r="F33" i="109" s="1"/>
  <c r="E61" i="109"/>
  <c r="E65" i="109" s="1"/>
  <c r="G48" i="97"/>
  <c r="F36" i="97"/>
  <c r="E36" i="97"/>
  <c r="F59" i="109"/>
  <c r="D33" i="108"/>
  <c r="F33" i="108" s="1"/>
  <c r="E61" i="108"/>
  <c r="E65" i="108" s="1"/>
  <c r="F39" i="109"/>
  <c r="F23" i="108"/>
  <c r="F30" i="108"/>
  <c r="F60" i="108"/>
  <c r="D61" i="108"/>
  <c r="D65" i="108" s="1"/>
  <c r="F60" i="109"/>
  <c r="F59" i="108"/>
  <c r="F30" i="109"/>
  <c r="D61" i="109"/>
  <c r="D65" i="109" s="1"/>
  <c r="D31" i="109"/>
  <c r="F29" i="109"/>
  <c r="D32" i="109"/>
  <c r="E31" i="109"/>
  <c r="E40" i="109" s="1"/>
  <c r="E32" i="109"/>
  <c r="F23" i="109"/>
  <c r="D31" i="108"/>
  <c r="D32" i="108"/>
  <c r="E29" i="108"/>
  <c r="F29" i="108" s="1"/>
  <c r="F61" i="108" l="1"/>
  <c r="F65" i="108" s="1"/>
  <c r="F61" i="109"/>
  <c r="F65" i="109" s="1"/>
  <c r="F32" i="109"/>
  <c r="F31" i="109"/>
  <c r="D40" i="109"/>
  <c r="F40" i="109" s="1"/>
  <c r="E31" i="108"/>
  <c r="E40" i="108" s="1"/>
  <c r="E32" i="108"/>
  <c r="F32" i="108" s="1"/>
  <c r="F31" i="108" l="1"/>
  <c r="D42" i="106"/>
  <c r="E42" i="106" s="1"/>
  <c r="F42" i="106" s="1"/>
  <c r="D67" i="97"/>
  <c r="G67" i="97" s="1"/>
  <c r="D66" i="97"/>
  <c r="G66" i="97" s="1"/>
  <c r="D61" i="97"/>
  <c r="D60" i="97"/>
  <c r="G39" i="97"/>
  <c r="G38" i="97"/>
  <c r="G37" i="97"/>
  <c r="G30" i="97"/>
  <c r="G60" i="97" l="1"/>
  <c r="G52" i="97"/>
  <c r="G61" i="97"/>
  <c r="D31" i="97"/>
  <c r="G29" i="97"/>
  <c r="G31" i="97" s="1"/>
  <c r="G40" i="97"/>
  <c r="G53" i="97"/>
  <c r="G68" i="97"/>
  <c r="D57" i="97"/>
  <c r="D62" i="97"/>
  <c r="D40" i="97"/>
  <c r="G62" i="97" l="1"/>
  <c r="G57" i="97"/>
  <c r="D58" i="98"/>
  <c r="D37" i="98"/>
  <c r="D11" i="91"/>
  <c r="E35" i="93" l="1"/>
  <c r="B28" i="107" l="1"/>
  <c r="C26" i="31" l="1"/>
  <c r="D13" i="23" l="1"/>
  <c r="E26" i="40" l="1"/>
  <c r="D41" i="31" l="1"/>
  <c r="D36" i="104" s="1"/>
  <c r="E15" i="23"/>
  <c r="C16" i="82" s="1"/>
  <c r="E40" i="6"/>
  <c r="D20" i="31" s="1"/>
  <c r="D19" i="104" s="1"/>
  <c r="F33" i="6"/>
  <c r="F32" i="6"/>
  <c r="F31" i="6"/>
  <c r="F30" i="6"/>
  <c r="F29" i="6"/>
  <c r="G44" i="6" l="1"/>
  <c r="F21" i="31" s="1"/>
  <c r="D22" i="97" s="1"/>
  <c r="N20" i="31"/>
  <c r="L20" i="31"/>
  <c r="D43" i="31"/>
  <c r="E45" i="93"/>
  <c r="Q15" i="87" l="1"/>
  <c r="T15" i="87"/>
  <c r="D45" i="31"/>
  <c r="C15" i="41"/>
  <c r="C13" i="41"/>
  <c r="D9" i="31" l="1"/>
  <c r="D9" i="104" s="1"/>
  <c r="F37" i="92"/>
  <c r="D37" i="92" l="1"/>
  <c r="C28" i="107" l="1"/>
  <c r="B32" i="107"/>
  <c r="F36" i="92" l="1"/>
  <c r="F35" i="92"/>
  <c r="F34" i="92"/>
  <c r="F33" i="92"/>
  <c r="H32" i="6"/>
  <c r="L43" i="6"/>
  <c r="L42" i="6"/>
  <c r="F31" i="92"/>
  <c r="F30" i="92"/>
  <c r="F32" i="92"/>
  <c r="C24" i="40" l="1"/>
  <c r="C34" i="40" l="1"/>
  <c r="D31" i="23"/>
  <c r="D32" i="68" s="1"/>
  <c r="D68" i="104" s="1"/>
  <c r="J16" i="87"/>
  <c r="F44" i="6"/>
  <c r="D11" i="23"/>
  <c r="C38" i="31"/>
  <c r="C29" i="68"/>
  <c r="C28" i="68"/>
  <c r="L32" i="68" l="1"/>
  <c r="N32" i="68"/>
  <c r="D38" i="40"/>
  <c r="D21" i="68" s="1"/>
  <c r="C39" i="31"/>
  <c r="C30" i="68"/>
  <c r="M29" i="68"/>
  <c r="K29" i="68"/>
  <c r="E24" i="40"/>
  <c r="D59" i="104" l="1"/>
  <c r="N34" i="68"/>
  <c r="J18" i="4" s="1"/>
  <c r="L25" i="91"/>
  <c r="K25" i="91"/>
  <c r="C19" i="106"/>
  <c r="D19" i="106" s="1"/>
  <c r="F38" i="40"/>
  <c r="F21" i="68" s="1"/>
  <c r="D58" i="97" s="1"/>
  <c r="E34" i="40"/>
  <c r="E38" i="40" s="1"/>
  <c r="C18" i="41"/>
  <c r="L21" i="68" l="1"/>
  <c r="N21" i="68"/>
  <c r="F26" i="68"/>
  <c r="F36" i="31" s="1"/>
  <c r="G34" i="93"/>
  <c r="F24" i="82" l="1"/>
  <c r="G24" i="82" s="1"/>
  <c r="H24" i="82" s="1"/>
  <c r="I24" i="82" s="1"/>
  <c r="J24" i="82" s="1"/>
  <c r="K24" i="82" s="1"/>
  <c r="L24" i="82" s="1"/>
  <c r="M24" i="82" s="1"/>
  <c r="N24" i="82" s="1"/>
  <c r="H14" i="4"/>
  <c r="C14" i="106"/>
  <c r="K18" i="91"/>
  <c r="J14" i="4"/>
  <c r="L18" i="91"/>
  <c r="E34" i="93"/>
  <c r="C10" i="41" l="1"/>
  <c r="C22" i="41" s="1"/>
  <c r="C11" i="88"/>
  <c r="D28" i="88" l="1"/>
  <c r="D22" i="68" s="1"/>
  <c r="D60" i="104" s="1"/>
  <c r="D28" i="41"/>
  <c r="E35" i="39"/>
  <c r="F77" i="90"/>
  <c r="E79" i="90"/>
  <c r="D11" i="87" s="1"/>
  <c r="E77" i="90"/>
  <c r="E75" i="90"/>
  <c r="F25" i="82" l="1"/>
  <c r="G25" i="82" s="1"/>
  <c r="H25" i="82" s="1"/>
  <c r="I25" i="82" s="1"/>
  <c r="J25" i="82" s="1"/>
  <c r="K25" i="82" s="1"/>
  <c r="L25" i="82" s="1"/>
  <c r="M25" i="82" s="1"/>
  <c r="N25" i="82" s="1"/>
  <c r="D10" i="87"/>
  <c r="D13" i="87" s="1"/>
  <c r="E81" i="90"/>
  <c r="I16" i="31"/>
  <c r="I28" i="31"/>
  <c r="I33" i="31"/>
  <c r="I43" i="31"/>
  <c r="E52" i="93" l="1"/>
  <c r="D27" i="48" l="1"/>
  <c r="D29" i="48" s="1"/>
  <c r="F27" i="48"/>
  <c r="F29" i="48" s="1"/>
  <c r="G27" i="48"/>
  <c r="G29" i="48" s="1"/>
  <c r="C27" i="48"/>
  <c r="C29" i="48" s="1"/>
  <c r="E25" i="48"/>
  <c r="G18" i="31"/>
  <c r="F28" i="6" l="1"/>
  <c r="F24" i="6" l="1"/>
  <c r="G24" i="6"/>
  <c r="F34" i="6"/>
  <c r="G34" i="6"/>
  <c r="F18" i="31" s="1"/>
  <c r="G19" i="97" s="1"/>
  <c r="G51" i="6" l="1"/>
  <c r="F17" i="31"/>
  <c r="E56" i="93"/>
  <c r="E31" i="93"/>
  <c r="E29" i="93"/>
  <c r="E28" i="93"/>
  <c r="E17" i="93"/>
  <c r="E19" i="93" l="1"/>
  <c r="F19" i="93"/>
  <c r="E40" i="93"/>
  <c r="F25" i="31"/>
  <c r="F34" i="31" s="1"/>
  <c r="G56" i="93"/>
  <c r="G29" i="93"/>
  <c r="G24" i="93"/>
  <c r="G19" i="93"/>
  <c r="D19" i="31" l="1"/>
  <c r="D18" i="104" s="1"/>
  <c r="F57" i="93"/>
  <c r="E9" i="92" s="1"/>
  <c r="G40" i="93"/>
  <c r="G9" i="92"/>
  <c r="G38" i="92" s="1"/>
  <c r="F13" i="68" s="1"/>
  <c r="E11" i="68"/>
  <c r="E38" i="92" l="1"/>
  <c r="D13" i="68" s="1"/>
  <c r="B39" i="96"/>
  <c r="N19" i="31"/>
  <c r="L19" i="31"/>
  <c r="G47" i="97"/>
  <c r="D50" i="104" l="1"/>
  <c r="L13" i="68"/>
  <c r="K10" i="91" s="1"/>
  <c r="N13" i="68"/>
  <c r="L10" i="91" s="1"/>
  <c r="E34" i="6"/>
  <c r="J11" i="4" l="1"/>
  <c r="H11" i="4"/>
  <c r="C10" i="106"/>
  <c r="D10" i="106" s="1"/>
  <c r="D18" i="31"/>
  <c r="D25" i="31" l="1"/>
  <c r="D17" i="104"/>
  <c r="C13" i="87"/>
  <c r="Q8" i="87" l="1"/>
  <c r="T8" i="87"/>
  <c r="E24" i="31" l="1"/>
  <c r="E19" i="31"/>
  <c r="E22" i="31"/>
  <c r="E13" i="31"/>
  <c r="G14" i="97" s="1"/>
  <c r="C41" i="31"/>
  <c r="C42" i="31"/>
  <c r="C31" i="31"/>
  <c r="C32" i="31"/>
  <c r="C29" i="31"/>
  <c r="C24" i="31"/>
  <c r="C19" i="31"/>
  <c r="C22" i="31"/>
  <c r="C11" i="91"/>
  <c r="C15" i="91"/>
  <c r="D15" i="91"/>
  <c r="G24" i="97" l="1"/>
  <c r="G23" i="97"/>
  <c r="G20" i="97"/>
  <c r="C14" i="31"/>
  <c r="P15" i="87" l="1"/>
  <c r="K19" i="31"/>
  <c r="K22" i="31"/>
  <c r="K24" i="31"/>
  <c r="K26" i="31"/>
  <c r="K27" i="31"/>
  <c r="K29" i="31"/>
  <c r="K31" i="31"/>
  <c r="K32" i="31"/>
  <c r="K37" i="31"/>
  <c r="K38" i="31"/>
  <c r="K41" i="31"/>
  <c r="K42" i="31"/>
  <c r="B2" i="6" l="1"/>
  <c r="A3" i="68"/>
  <c r="A3" i="45" s="1"/>
  <c r="A2" i="31"/>
  <c r="A2" i="4"/>
  <c r="M24" i="31" l="1"/>
  <c r="D41" i="39" l="1"/>
  <c r="E41" i="39" l="1"/>
  <c r="C24" i="68"/>
  <c r="C25" i="68" s="1"/>
  <c r="D42" i="39"/>
  <c r="D24" i="68" l="1"/>
  <c r="D62" i="104" s="1"/>
  <c r="E42" i="39"/>
  <c r="M24" i="68"/>
  <c r="K24" i="68"/>
  <c r="D25" i="68" l="1"/>
  <c r="N24" i="68"/>
  <c r="L24" i="68"/>
  <c r="C36" i="40"/>
  <c r="S14" i="87" l="1"/>
  <c r="D14" i="38" l="1"/>
  <c r="E14" i="38" s="1"/>
  <c r="C32" i="68" l="1"/>
  <c r="K32" i="68" l="1"/>
  <c r="M32" i="68"/>
  <c r="C23" i="40"/>
  <c r="O27" i="82" l="1"/>
  <c r="C15" i="68" l="1"/>
  <c r="A1" i="4" l="1"/>
  <c r="E43" i="31" l="1"/>
  <c r="G43" i="31"/>
  <c r="G16" i="31"/>
  <c r="C26" i="41" l="1"/>
  <c r="D33" i="39"/>
  <c r="D32" i="39"/>
  <c r="C17" i="68" s="1"/>
  <c r="E11" i="38"/>
  <c r="E35" i="23"/>
  <c r="E34" i="23"/>
  <c r="E18" i="23"/>
  <c r="E20" i="23" s="1"/>
  <c r="C33" i="25"/>
  <c r="F49" i="6"/>
  <c r="E23" i="31" s="1"/>
  <c r="E21" i="31"/>
  <c r="F40" i="6"/>
  <c r="E18" i="31"/>
  <c r="E17" i="31"/>
  <c r="F19" i="6"/>
  <c r="E15" i="31" s="1"/>
  <c r="G16" i="97" s="1"/>
  <c r="F13" i="6"/>
  <c r="E14" i="31" s="1"/>
  <c r="C23" i="31"/>
  <c r="E45" i="6"/>
  <c r="E51" i="6" s="1"/>
  <c r="S12" i="87"/>
  <c r="S15" i="87"/>
  <c r="M11" i="31"/>
  <c r="P12" i="87"/>
  <c r="P19" i="87"/>
  <c r="M21" i="87"/>
  <c r="M17" i="87"/>
  <c r="M13" i="87"/>
  <c r="J21" i="87"/>
  <c r="J17" i="87"/>
  <c r="J13" i="87"/>
  <c r="G21" i="87"/>
  <c r="E11" i="31" s="1"/>
  <c r="G17" i="87"/>
  <c r="E9" i="31" s="1"/>
  <c r="G11" i="97" s="1"/>
  <c r="G13" i="87"/>
  <c r="E8" i="31" s="1"/>
  <c r="G10" i="97" s="1"/>
  <c r="D21" i="87"/>
  <c r="C11" i="31" s="1"/>
  <c r="C17" i="87"/>
  <c r="D17" i="87"/>
  <c r="C9" i="31" s="1"/>
  <c r="I12" i="68"/>
  <c r="K12" i="68" s="1"/>
  <c r="I30" i="31"/>
  <c r="M26" i="45"/>
  <c r="I21" i="68"/>
  <c r="I13" i="68"/>
  <c r="I39" i="45"/>
  <c r="G39" i="45"/>
  <c r="G47" i="45" s="1"/>
  <c r="E39" i="45"/>
  <c r="I9" i="68"/>
  <c r="I34" i="68"/>
  <c r="G34" i="68"/>
  <c r="G26" i="68"/>
  <c r="G11" i="68"/>
  <c r="E34" i="68"/>
  <c r="E19" i="68"/>
  <c r="K15" i="68"/>
  <c r="M18" i="87" l="1"/>
  <c r="E25" i="38"/>
  <c r="D14" i="68" s="1"/>
  <c r="D51" i="104" s="1"/>
  <c r="E20" i="6"/>
  <c r="G32" i="45"/>
  <c r="P21" i="87"/>
  <c r="I11" i="31" s="1"/>
  <c r="G21" i="45"/>
  <c r="K39" i="45"/>
  <c r="K47" i="45" s="1"/>
  <c r="C29" i="45"/>
  <c r="C32" i="45"/>
  <c r="D19" i="25"/>
  <c r="G22" i="97"/>
  <c r="G12" i="97"/>
  <c r="I47" i="45"/>
  <c r="I21" i="45"/>
  <c r="C13" i="31"/>
  <c r="K23" i="68"/>
  <c r="G51" i="45"/>
  <c r="G29" i="45" s="1"/>
  <c r="K14" i="31"/>
  <c r="G15" i="97"/>
  <c r="G17" i="97" s="1"/>
  <c r="D34" i="39"/>
  <c r="E20" i="31"/>
  <c r="D26" i="97" s="1"/>
  <c r="F51" i="6"/>
  <c r="G10" i="4"/>
  <c r="C19" i="25"/>
  <c r="F20" i="6"/>
  <c r="C28" i="88"/>
  <c r="C22" i="68" s="1"/>
  <c r="D11" i="38"/>
  <c r="D25" i="38" s="1"/>
  <c r="F11" i="38"/>
  <c r="G44" i="93"/>
  <c r="G57" i="93" s="1"/>
  <c r="F9" i="92" s="1"/>
  <c r="F38" i="92" s="1"/>
  <c r="K30" i="31"/>
  <c r="C20" i="31"/>
  <c r="J18" i="87"/>
  <c r="J22" i="87" s="1"/>
  <c r="S17" i="87"/>
  <c r="M22" i="87"/>
  <c r="P16" i="87"/>
  <c r="S16" i="87"/>
  <c r="K32" i="45"/>
  <c r="K51" i="45"/>
  <c r="K29" i="45" s="1"/>
  <c r="P17" i="87"/>
  <c r="G18" i="87"/>
  <c r="G22" i="87" s="1"/>
  <c r="K17" i="68"/>
  <c r="G20" i="68"/>
  <c r="G27" i="68" s="1"/>
  <c r="G35" i="68" s="1"/>
  <c r="E21" i="68"/>
  <c r="E24" i="88"/>
  <c r="E28" i="88" s="1"/>
  <c r="E22" i="68" s="1"/>
  <c r="D59" i="97" s="1"/>
  <c r="M12" i="68"/>
  <c r="M15" i="68"/>
  <c r="M23" i="68"/>
  <c r="M17" i="68"/>
  <c r="M27" i="31"/>
  <c r="M37" i="31"/>
  <c r="G33" i="31"/>
  <c r="G30" i="31"/>
  <c r="D28" i="98" s="1"/>
  <c r="G28" i="31"/>
  <c r="E33" i="31"/>
  <c r="E30" i="31"/>
  <c r="G28" i="97" s="1"/>
  <c r="E28" i="31"/>
  <c r="G27" i="97" s="1"/>
  <c r="M38" i="31"/>
  <c r="M29" i="31"/>
  <c r="M12" i="31"/>
  <c r="G12" i="31"/>
  <c r="E12" i="31"/>
  <c r="G13" i="97" s="1"/>
  <c r="C12" i="31"/>
  <c r="F7" i="6"/>
  <c r="C8" i="25"/>
  <c r="C22" i="25" s="1"/>
  <c r="D8" i="23" s="1"/>
  <c r="D25" i="23" s="1"/>
  <c r="D8" i="92" s="1"/>
  <c r="E7" i="93" s="1"/>
  <c r="D7" i="38" s="1"/>
  <c r="D8" i="39" s="1"/>
  <c r="C9" i="41" s="1"/>
  <c r="C10" i="40" s="1"/>
  <c r="C9" i="88" s="1"/>
  <c r="S7" i="87"/>
  <c r="P7" i="87"/>
  <c r="M7" i="87"/>
  <c r="J7" i="87"/>
  <c r="G7" i="87"/>
  <c r="D7" i="87"/>
  <c r="M8" i="68"/>
  <c r="K8" i="68"/>
  <c r="I8" i="68"/>
  <c r="G8" i="68"/>
  <c r="E8" i="68"/>
  <c r="F8" i="92" s="1"/>
  <c r="G7" i="93" s="1"/>
  <c r="F7" i="38" s="1"/>
  <c r="E10" i="40" s="1"/>
  <c r="E9" i="88" s="1"/>
  <c r="C8" i="68"/>
  <c r="D15" i="31" l="1"/>
  <c r="D14" i="104" s="1"/>
  <c r="M39" i="45"/>
  <c r="G24" i="45"/>
  <c r="G27" i="45" s="1"/>
  <c r="G52" i="45"/>
  <c r="I51" i="45"/>
  <c r="I29" i="45" s="1"/>
  <c r="K13" i="31"/>
  <c r="I12" i="31"/>
  <c r="K11" i="31"/>
  <c r="D21" i="45"/>
  <c r="D26" i="68"/>
  <c r="D36" i="31" s="1"/>
  <c r="D39" i="45"/>
  <c r="D51" i="45"/>
  <c r="D32" i="45"/>
  <c r="G59" i="97"/>
  <c r="G21" i="97"/>
  <c r="G26" i="97" s="1"/>
  <c r="G32" i="97" s="1"/>
  <c r="G33" i="97"/>
  <c r="G58" i="97"/>
  <c r="I10" i="68"/>
  <c r="I11" i="68" s="1"/>
  <c r="F14" i="68"/>
  <c r="D50" i="97" s="1"/>
  <c r="G36" i="31"/>
  <c r="D10" i="4"/>
  <c r="D32" i="97"/>
  <c r="K20" i="31"/>
  <c r="H31" i="18"/>
  <c r="J31" i="18" s="1"/>
  <c r="I10" i="4"/>
  <c r="I52" i="45"/>
  <c r="C15" i="31"/>
  <c r="C14" i="68"/>
  <c r="B14" i="4"/>
  <c r="K52" i="45"/>
  <c r="M30" i="31"/>
  <c r="M20" i="31"/>
  <c r="G25" i="31"/>
  <c r="M22" i="31"/>
  <c r="E26" i="68"/>
  <c r="E36" i="31" s="1"/>
  <c r="M19" i="31"/>
  <c r="M13" i="31"/>
  <c r="K33" i="31"/>
  <c r="M31" i="31"/>
  <c r="K39" i="31"/>
  <c r="C33" i="31"/>
  <c r="M32" i="31"/>
  <c r="C30" i="31"/>
  <c r="E25" i="31"/>
  <c r="E16" i="31"/>
  <c r="M14" i="31"/>
  <c r="G10" i="31"/>
  <c r="E10" i="31"/>
  <c r="D29" i="45" l="1"/>
  <c r="N51" i="45"/>
  <c r="N29" i="45" s="1"/>
  <c r="D16" i="31"/>
  <c r="N15" i="31"/>
  <c r="F14" i="91" s="1"/>
  <c r="L15" i="31"/>
  <c r="L16" i="31" s="1"/>
  <c r="E14" i="68"/>
  <c r="G50" i="97" s="1"/>
  <c r="J23" i="31"/>
  <c r="N23" i="31" s="1"/>
  <c r="I23" i="31"/>
  <c r="K23" i="31" s="1"/>
  <c r="G33" i="45"/>
  <c r="G34" i="45" s="1"/>
  <c r="G35" i="45" s="1"/>
  <c r="G28" i="45"/>
  <c r="J25" i="68"/>
  <c r="L25" i="68" s="1"/>
  <c r="I25" i="68"/>
  <c r="E21" i="45"/>
  <c r="I22" i="68"/>
  <c r="E51" i="45"/>
  <c r="D47" i="45"/>
  <c r="N47" i="45" s="1"/>
  <c r="N28" i="45" s="1"/>
  <c r="G34" i="97"/>
  <c r="G64" i="97"/>
  <c r="G36" i="97" s="1"/>
  <c r="J10" i="68"/>
  <c r="N14" i="68"/>
  <c r="L11" i="91" s="1"/>
  <c r="L14" i="68"/>
  <c r="F20" i="68"/>
  <c r="D14" i="4"/>
  <c r="M15" i="31"/>
  <c r="C16" i="31"/>
  <c r="K15" i="31"/>
  <c r="B15" i="4"/>
  <c r="M33" i="31"/>
  <c r="K12" i="31"/>
  <c r="M39" i="31"/>
  <c r="E34" i="31"/>
  <c r="L23" i="31" l="1"/>
  <c r="E14" i="91"/>
  <c r="N16" i="31"/>
  <c r="C11" i="4"/>
  <c r="C30" i="106"/>
  <c r="D30" i="106" s="1"/>
  <c r="H16" i="4"/>
  <c r="K20" i="91"/>
  <c r="K11" i="91"/>
  <c r="C11" i="106"/>
  <c r="D11" i="106" s="1"/>
  <c r="K14" i="68"/>
  <c r="M14" i="68"/>
  <c r="M23" i="31"/>
  <c r="I21" i="31"/>
  <c r="J21" i="31"/>
  <c r="J18" i="31"/>
  <c r="N25" i="68"/>
  <c r="C16" i="106" s="1"/>
  <c r="D52" i="45"/>
  <c r="N52" i="45" s="1"/>
  <c r="J22" i="68"/>
  <c r="I26" i="68"/>
  <c r="I36" i="31" s="1"/>
  <c r="M22" i="68"/>
  <c r="K22" i="68"/>
  <c r="E32" i="45"/>
  <c r="J41" i="31"/>
  <c r="K25" i="68"/>
  <c r="M25" i="68"/>
  <c r="I32" i="45"/>
  <c r="I9" i="31"/>
  <c r="J9" i="31"/>
  <c r="E29" i="45"/>
  <c r="M51" i="45"/>
  <c r="M29" i="45" s="1"/>
  <c r="N10" i="68"/>
  <c r="L10" i="68"/>
  <c r="J11" i="68"/>
  <c r="F27" i="68"/>
  <c r="F35" i="68" s="1"/>
  <c r="F44" i="31" s="1"/>
  <c r="F35" i="31"/>
  <c r="H12" i="4"/>
  <c r="J12" i="4"/>
  <c r="K16" i="31"/>
  <c r="B11" i="4" s="1"/>
  <c r="E15" i="91"/>
  <c r="F15" i="91"/>
  <c r="M16" i="31"/>
  <c r="D11" i="4" s="1"/>
  <c r="G12" i="4"/>
  <c r="D15" i="4"/>
  <c r="B10" i="4"/>
  <c r="D15" i="23"/>
  <c r="M42" i="31"/>
  <c r="E11" i="4" l="1"/>
  <c r="B38" i="96"/>
  <c r="D41" i="97"/>
  <c r="J16" i="4"/>
  <c r="L20" i="91"/>
  <c r="I12" i="4"/>
  <c r="L21" i="31"/>
  <c r="N21" i="31"/>
  <c r="N17" i="87"/>
  <c r="N18" i="87" s="1"/>
  <c r="N22" i="87" s="1"/>
  <c r="J10" i="31"/>
  <c r="G15" i="4"/>
  <c r="N22" i="68"/>
  <c r="J26" i="68"/>
  <c r="J36" i="31" s="1"/>
  <c r="L22" i="68"/>
  <c r="I10" i="31"/>
  <c r="K9" i="31"/>
  <c r="M9" i="31"/>
  <c r="I16" i="4"/>
  <c r="J43" i="31"/>
  <c r="N41" i="31"/>
  <c r="L41" i="31"/>
  <c r="I15" i="4"/>
  <c r="M32" i="45"/>
  <c r="G16" i="4"/>
  <c r="L18" i="31"/>
  <c r="N18" i="31"/>
  <c r="N11" i="68"/>
  <c r="L11" i="68"/>
  <c r="D18" i="23"/>
  <c r="D20" i="23" s="1"/>
  <c r="M41" i="31"/>
  <c r="C43" i="31"/>
  <c r="L19" i="91" l="1"/>
  <c r="F23" i="82"/>
  <c r="G23" i="82" s="1"/>
  <c r="H23" i="82" s="1"/>
  <c r="I23" i="82" s="1"/>
  <c r="J23" i="82" s="1"/>
  <c r="C15" i="106"/>
  <c r="K19" i="91"/>
  <c r="C8" i="106"/>
  <c r="D8" i="106" s="1"/>
  <c r="K8" i="91"/>
  <c r="L8" i="91"/>
  <c r="J9" i="4"/>
  <c r="H9" i="4"/>
  <c r="N26" i="68"/>
  <c r="N36" i="31" s="1"/>
  <c r="J15" i="4"/>
  <c r="N43" i="31"/>
  <c r="L43" i="31"/>
  <c r="H15" i="4"/>
  <c r="L26" i="68"/>
  <c r="L36" i="31" s="1"/>
  <c r="F45" i="31"/>
  <c r="F46" i="31" s="1"/>
  <c r="M43" i="31"/>
  <c r="C45" i="31"/>
  <c r="K43" i="31"/>
  <c r="A4" i="88"/>
  <c r="F26" i="91" l="1"/>
  <c r="N45" i="31"/>
  <c r="E17" i="4" s="1"/>
  <c r="C43" i="106"/>
  <c r="E26" i="91"/>
  <c r="M45" i="31"/>
  <c r="D17" i="4" s="1"/>
  <c r="D44" i="106"/>
  <c r="E44" i="106" s="1"/>
  <c r="F44" i="106" s="1"/>
  <c r="D46" i="106"/>
  <c r="E46" i="106" s="1"/>
  <c r="F46" i="106" s="1"/>
  <c r="D47" i="106"/>
  <c r="E47" i="106" s="1"/>
  <c r="F47" i="106" s="1"/>
  <c r="D20" i="106"/>
  <c r="E20" i="106" s="1"/>
  <c r="F20" i="106" s="1"/>
  <c r="D21" i="106"/>
  <c r="E21" i="106" s="1"/>
  <c r="F21" i="106" s="1"/>
  <c r="C45" i="106" l="1"/>
  <c r="C48" i="106" s="1"/>
  <c r="E43" i="106"/>
  <c r="F43" i="106" s="1"/>
  <c r="A4" i="55" l="1"/>
  <c r="A2" i="96"/>
  <c r="A2" i="107" s="1"/>
  <c r="A1" i="96"/>
  <c r="A1" i="107" s="1"/>
  <c r="A4" i="96"/>
  <c r="A4" i="82"/>
  <c r="A4" i="91"/>
  <c r="A4" i="48"/>
  <c r="A7" i="18"/>
  <c r="A5" i="40"/>
  <c r="A4" i="41"/>
  <c r="A3" i="39"/>
  <c r="A3" i="38"/>
  <c r="A3" i="93"/>
  <c r="A1" i="93"/>
  <c r="A1" i="92"/>
  <c r="A4" i="92"/>
  <c r="A4" i="23"/>
  <c r="A4" i="25"/>
  <c r="A3" i="6"/>
  <c r="A3" i="87"/>
  <c r="A4" i="103"/>
  <c r="A4" i="102"/>
  <c r="A4" i="101"/>
  <c r="A4" i="98"/>
  <c r="A4" i="97"/>
  <c r="A3" i="104"/>
  <c r="A5" i="45"/>
  <c r="A4" i="68"/>
  <c r="A3" i="31"/>
  <c r="A3" i="4"/>
  <c r="E70" i="104" l="1"/>
  <c r="F67" i="104"/>
  <c r="E66" i="104"/>
  <c r="E71" i="104" s="1"/>
  <c r="E63" i="104"/>
  <c r="D63" i="104"/>
  <c r="D65" i="104" s="1"/>
  <c r="F65" i="104" s="1"/>
  <c r="F62" i="104"/>
  <c r="F61" i="104"/>
  <c r="F49" i="104"/>
  <c r="D48" i="104"/>
  <c r="F48" i="104" s="1"/>
  <c r="F47" i="104"/>
  <c r="F46" i="104"/>
  <c r="E38" i="104"/>
  <c r="E40" i="104" s="1"/>
  <c r="F37" i="104"/>
  <c r="E30" i="104"/>
  <c r="E33" i="104" s="1"/>
  <c r="D28" i="104"/>
  <c r="F27" i="104"/>
  <c r="F26" i="104"/>
  <c r="F25" i="104"/>
  <c r="E23" i="104"/>
  <c r="F22" i="104"/>
  <c r="F21" i="104"/>
  <c r="F19" i="104"/>
  <c r="F18" i="104"/>
  <c r="E15" i="104"/>
  <c r="E10" i="104"/>
  <c r="E29" i="104" l="1"/>
  <c r="E31" i="104" s="1"/>
  <c r="E41" i="104" s="1"/>
  <c r="F28" i="104"/>
  <c r="F63" i="104"/>
  <c r="E32" i="104" l="1"/>
  <c r="C25" i="96" l="1"/>
  <c r="C23" i="96"/>
  <c r="C15" i="96"/>
  <c r="G38" i="101"/>
  <c r="D22" i="39" l="1"/>
  <c r="C16" i="68" s="1"/>
  <c r="M16" i="68" l="1"/>
  <c r="K16" i="68"/>
  <c r="C21" i="68" l="1"/>
  <c r="C26" i="68" l="1"/>
  <c r="K21" i="68"/>
  <c r="M21" i="68"/>
  <c r="F64" i="103"/>
  <c r="E64" i="103"/>
  <c r="D64" i="103"/>
  <c r="E60" i="103"/>
  <c r="D60" i="103"/>
  <c r="E59" i="103"/>
  <c r="D59" i="103"/>
  <c r="F58" i="103"/>
  <c r="F57" i="103"/>
  <c r="F56" i="103"/>
  <c r="F55" i="103"/>
  <c r="F54" i="103"/>
  <c r="F53" i="103"/>
  <c r="F52" i="103"/>
  <c r="F51" i="103"/>
  <c r="F50" i="103"/>
  <c r="F49" i="103"/>
  <c r="F48" i="103"/>
  <c r="F47" i="103"/>
  <c r="F46" i="103"/>
  <c r="F45" i="103"/>
  <c r="F44" i="103"/>
  <c r="E39" i="103"/>
  <c r="D39" i="103"/>
  <c r="F39" i="103" s="1"/>
  <c r="F38" i="103"/>
  <c r="F37" i="103"/>
  <c r="F36" i="103"/>
  <c r="F35" i="103"/>
  <c r="F34" i="103"/>
  <c r="E30" i="103"/>
  <c r="D30" i="103"/>
  <c r="F28" i="103"/>
  <c r="F27" i="103"/>
  <c r="F26" i="103"/>
  <c r="F25" i="103"/>
  <c r="F24" i="103"/>
  <c r="E23" i="103"/>
  <c r="E29" i="103" s="1"/>
  <c r="D23" i="103"/>
  <c r="D29" i="103" s="1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64" i="102"/>
  <c r="E64" i="102"/>
  <c r="D64" i="102"/>
  <c r="E60" i="102"/>
  <c r="D60" i="102"/>
  <c r="E59" i="102"/>
  <c r="D59" i="102"/>
  <c r="F58" i="102"/>
  <c r="F57" i="102"/>
  <c r="F56" i="102"/>
  <c r="F55" i="102"/>
  <c r="F54" i="102"/>
  <c r="F53" i="102"/>
  <c r="F52" i="102"/>
  <c r="F51" i="102"/>
  <c r="F50" i="102"/>
  <c r="F49" i="102"/>
  <c r="F48" i="102"/>
  <c r="F47" i="102"/>
  <c r="F46" i="102"/>
  <c r="F45" i="102"/>
  <c r="F44" i="102"/>
  <c r="E39" i="102"/>
  <c r="D39" i="102"/>
  <c r="F38" i="102"/>
  <c r="F37" i="102"/>
  <c r="F36" i="102"/>
  <c r="F35" i="102"/>
  <c r="F34" i="102"/>
  <c r="E30" i="102"/>
  <c r="D30" i="102"/>
  <c r="F28" i="102"/>
  <c r="F27" i="102"/>
  <c r="F26" i="102"/>
  <c r="F25" i="102"/>
  <c r="F24" i="102"/>
  <c r="E23" i="102"/>
  <c r="E29" i="102" s="1"/>
  <c r="D23" i="102"/>
  <c r="D29" i="102" s="1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G64" i="101"/>
  <c r="F64" i="101"/>
  <c r="E64" i="101"/>
  <c r="D64" i="101"/>
  <c r="F60" i="101"/>
  <c r="E60" i="101"/>
  <c r="D60" i="101"/>
  <c r="F59" i="101"/>
  <c r="E59" i="101"/>
  <c r="D59" i="101"/>
  <c r="G58" i="101"/>
  <c r="G57" i="101"/>
  <c r="G56" i="101"/>
  <c r="G55" i="101"/>
  <c r="G54" i="101"/>
  <c r="G53" i="101"/>
  <c r="G52" i="101"/>
  <c r="G51" i="101"/>
  <c r="G50" i="101"/>
  <c r="G49" i="101"/>
  <c r="G48" i="101"/>
  <c r="G47" i="101"/>
  <c r="G46" i="101"/>
  <c r="G45" i="101"/>
  <c r="G44" i="101"/>
  <c r="F39" i="101"/>
  <c r="E39" i="101"/>
  <c r="D39" i="101"/>
  <c r="G37" i="101"/>
  <c r="G36" i="101"/>
  <c r="G35" i="101"/>
  <c r="G34" i="101"/>
  <c r="F30" i="101"/>
  <c r="F33" i="101" s="1"/>
  <c r="E30" i="101"/>
  <c r="D30" i="101"/>
  <c r="G28" i="101"/>
  <c r="G27" i="101"/>
  <c r="G26" i="101"/>
  <c r="G25" i="101"/>
  <c r="G24" i="101"/>
  <c r="G30" i="101" s="1"/>
  <c r="F23" i="101"/>
  <c r="F29" i="101" s="1"/>
  <c r="E23" i="101"/>
  <c r="E29" i="101" s="1"/>
  <c r="E32" i="101" s="1"/>
  <c r="D23" i="101"/>
  <c r="D29" i="101" s="1"/>
  <c r="G22" i="101"/>
  <c r="G21" i="101"/>
  <c r="G20" i="101"/>
  <c r="G19" i="101"/>
  <c r="G18" i="101"/>
  <c r="G16" i="101"/>
  <c r="G15" i="101"/>
  <c r="G14" i="101"/>
  <c r="G13" i="101"/>
  <c r="G12" i="101"/>
  <c r="G11" i="101"/>
  <c r="G10" i="101"/>
  <c r="G9" i="101"/>
  <c r="E64" i="98"/>
  <c r="D64" i="98"/>
  <c r="F63" i="98"/>
  <c r="F62" i="98"/>
  <c r="D60" i="98"/>
  <c r="E59" i="98"/>
  <c r="E61" i="98" s="1"/>
  <c r="D59" i="98"/>
  <c r="F58" i="98"/>
  <c r="F57" i="98"/>
  <c r="F56" i="98"/>
  <c r="F55" i="98"/>
  <c r="F54" i="98"/>
  <c r="F53" i="98"/>
  <c r="F52" i="98"/>
  <c r="F51" i="98"/>
  <c r="F50" i="98"/>
  <c r="F49" i="98"/>
  <c r="F48" i="98"/>
  <c r="F47" i="98"/>
  <c r="F46" i="98"/>
  <c r="F45" i="98"/>
  <c r="F44" i="98"/>
  <c r="E39" i="98"/>
  <c r="F37" i="98"/>
  <c r="F36" i="98"/>
  <c r="F35" i="98"/>
  <c r="F34" i="98"/>
  <c r="E30" i="98"/>
  <c r="E33" i="98" s="1"/>
  <c r="D30" i="98"/>
  <c r="F28" i="98"/>
  <c r="F27" i="98"/>
  <c r="F26" i="98"/>
  <c r="F25" i="98"/>
  <c r="F24" i="98"/>
  <c r="E23" i="98"/>
  <c r="E29" i="98" s="1"/>
  <c r="D23" i="98"/>
  <c r="D29" i="98" s="1"/>
  <c r="F22" i="98"/>
  <c r="F21" i="98"/>
  <c r="F20" i="98"/>
  <c r="F19" i="98"/>
  <c r="F18" i="98"/>
  <c r="F17" i="98"/>
  <c r="F16" i="98"/>
  <c r="F15" i="98"/>
  <c r="F14" i="98"/>
  <c r="F13" i="98"/>
  <c r="F12" i="98"/>
  <c r="F10" i="98"/>
  <c r="F9" i="98"/>
  <c r="D68" i="97"/>
  <c r="E42" i="97"/>
  <c r="E43" i="97" s="1"/>
  <c r="D33" i="97"/>
  <c r="D17" i="97"/>
  <c r="E33" i="103" l="1"/>
  <c r="E65" i="98"/>
  <c r="E33" i="101"/>
  <c r="F30" i="103"/>
  <c r="E35" i="97"/>
  <c r="F64" i="98"/>
  <c r="E33" i="102"/>
  <c r="E61" i="102"/>
  <c r="E65" i="102" s="1"/>
  <c r="E61" i="103"/>
  <c r="E65" i="103" s="1"/>
  <c r="G39" i="101"/>
  <c r="F61" i="101"/>
  <c r="F65" i="101" s="1"/>
  <c r="D33" i="101"/>
  <c r="D61" i="101"/>
  <c r="D65" i="101" s="1"/>
  <c r="D33" i="98"/>
  <c r="F33" i="98" s="1"/>
  <c r="I14" i="4"/>
  <c r="E61" i="101"/>
  <c r="E65" i="101" s="1"/>
  <c r="F30" i="102"/>
  <c r="F39" i="102"/>
  <c r="F60" i="102"/>
  <c r="D61" i="102"/>
  <c r="D65" i="102" s="1"/>
  <c r="F60" i="103"/>
  <c r="F59" i="98"/>
  <c r="G60" i="101"/>
  <c r="G33" i="101" s="1"/>
  <c r="F59" i="102"/>
  <c r="K26" i="68"/>
  <c r="G14" i="4"/>
  <c r="C17" i="106"/>
  <c r="D61" i="98"/>
  <c r="F61" i="98" s="1"/>
  <c r="G59" i="101"/>
  <c r="F59" i="103"/>
  <c r="D61" i="103"/>
  <c r="D65" i="103" s="1"/>
  <c r="M26" i="68"/>
  <c r="D32" i="98"/>
  <c r="D31" i="98"/>
  <c r="F29" i="98"/>
  <c r="E32" i="98"/>
  <c r="E31" i="98"/>
  <c r="E40" i="98" s="1"/>
  <c r="F30" i="98"/>
  <c r="F23" i="98"/>
  <c r="D32" i="101"/>
  <c r="D31" i="101"/>
  <c r="F32" i="101"/>
  <c r="F31" i="101"/>
  <c r="F40" i="101" s="1"/>
  <c r="D32" i="102"/>
  <c r="D31" i="102"/>
  <c r="F29" i="102"/>
  <c r="D32" i="103"/>
  <c r="D31" i="103"/>
  <c r="F29" i="103"/>
  <c r="E31" i="102"/>
  <c r="E40" i="102" s="1"/>
  <c r="E32" i="102"/>
  <c r="E31" i="103"/>
  <c r="E40" i="103" s="1"/>
  <c r="E32" i="103"/>
  <c r="F60" i="98"/>
  <c r="G23" i="101"/>
  <c r="G29" i="101" s="1"/>
  <c r="F23" i="102"/>
  <c r="D33" i="102"/>
  <c r="F23" i="103"/>
  <c r="D33" i="103"/>
  <c r="F33" i="103" s="1"/>
  <c r="E31" i="101"/>
  <c r="E40" i="101" s="1"/>
  <c r="F61" i="102" l="1"/>
  <c r="F65" i="102" s="1"/>
  <c r="F33" i="102"/>
  <c r="F61" i="103"/>
  <c r="F65" i="103" s="1"/>
  <c r="G61" i="101"/>
  <c r="G65" i="101" s="1"/>
  <c r="D34" i="97"/>
  <c r="D65" i="98"/>
  <c r="F65" i="98" s="1"/>
  <c r="F32" i="102"/>
  <c r="G31" i="101"/>
  <c r="G32" i="101"/>
  <c r="D40" i="103"/>
  <c r="F40" i="103" s="1"/>
  <c r="F31" i="103"/>
  <c r="F31" i="98"/>
  <c r="F32" i="103"/>
  <c r="D40" i="102"/>
  <c r="F40" i="102" s="1"/>
  <c r="F31" i="102"/>
  <c r="D40" i="101"/>
  <c r="F32" i="98"/>
  <c r="G40" i="101" l="1"/>
  <c r="G33" i="96" l="1"/>
  <c r="F33" i="96"/>
  <c r="E33" i="96"/>
  <c r="D33" i="96"/>
  <c r="C33" i="96"/>
  <c r="E32" i="96"/>
  <c r="G31" i="96"/>
  <c r="F31" i="96"/>
  <c r="E31" i="96"/>
  <c r="D31" i="96"/>
  <c r="C31" i="96"/>
  <c r="E30" i="96"/>
  <c r="G29" i="96"/>
  <c r="F29" i="96"/>
  <c r="E29" i="96"/>
  <c r="D29" i="96"/>
  <c r="C29" i="96"/>
  <c r="E28" i="96"/>
  <c r="G27" i="96"/>
  <c r="F27" i="96"/>
  <c r="E27" i="96"/>
  <c r="D27" i="96"/>
  <c r="C27" i="96"/>
  <c r="E26" i="96"/>
  <c r="G25" i="96"/>
  <c r="F25" i="96"/>
  <c r="E25" i="96"/>
  <c r="D25" i="96"/>
  <c r="E24" i="96"/>
  <c r="G23" i="96"/>
  <c r="F23" i="96"/>
  <c r="E23" i="96"/>
  <c r="D23" i="96"/>
  <c r="E22" i="96"/>
  <c r="G21" i="96"/>
  <c r="F21" i="96"/>
  <c r="E21" i="96"/>
  <c r="D21" i="96"/>
  <c r="C21" i="96"/>
  <c r="E20" i="96"/>
  <c r="G19" i="96"/>
  <c r="F19" i="96"/>
  <c r="E19" i="96"/>
  <c r="D19" i="96"/>
  <c r="C19" i="96"/>
  <c r="E18" i="96"/>
  <c r="G17" i="96"/>
  <c r="F17" i="96"/>
  <c r="E17" i="96"/>
  <c r="D17" i="96"/>
  <c r="C17" i="96"/>
  <c r="E16" i="96"/>
  <c r="G15" i="96"/>
  <c r="F15" i="96"/>
  <c r="E15" i="96"/>
  <c r="D15" i="96"/>
  <c r="E14" i="96"/>
  <c r="G13" i="96"/>
  <c r="F13" i="96"/>
  <c r="E13" i="96"/>
  <c r="D13" i="96"/>
  <c r="C13" i="96"/>
  <c r="E12" i="96"/>
  <c r="G11" i="96"/>
  <c r="F11" i="96"/>
  <c r="E11" i="96"/>
  <c r="D11" i="96"/>
  <c r="C11" i="96"/>
  <c r="E10" i="96"/>
  <c r="E9" i="96" l="1"/>
  <c r="G9" i="96"/>
  <c r="F35" i="96"/>
  <c r="F44" i="96" s="1"/>
  <c r="C35" i="96"/>
  <c r="C44" i="96" s="1"/>
  <c r="G35" i="96"/>
  <c r="G44" i="96" s="1"/>
  <c r="E34" i="96"/>
  <c r="E43" i="96" s="1"/>
  <c r="D35" i="96"/>
  <c r="D44" i="96" s="1"/>
  <c r="C9" i="96"/>
  <c r="E35" i="96"/>
  <c r="E44" i="96" s="1"/>
  <c r="E8" i="96"/>
  <c r="D9" i="96"/>
  <c r="F9" i="96"/>
  <c r="C18" i="31" l="1"/>
  <c r="F17" i="104" s="1"/>
  <c r="C17" i="31" l="1"/>
  <c r="C21" i="31"/>
  <c r="K21" i="31" l="1"/>
  <c r="F20" i="104"/>
  <c r="F16" i="104"/>
  <c r="C25" i="31"/>
  <c r="M21" i="31"/>
  <c r="F23" i="104" l="1"/>
  <c r="D23" i="104"/>
  <c r="K10" i="68" l="1"/>
  <c r="M10" i="68"/>
  <c r="C11" i="68" l="1"/>
  <c r="M9" i="68"/>
  <c r="K9" i="68"/>
  <c r="D24" i="45" l="1"/>
  <c r="D27" i="45" s="1"/>
  <c r="F45" i="104"/>
  <c r="K11" i="68"/>
  <c r="L16" i="87"/>
  <c r="L17" i="87" s="1"/>
  <c r="L18" i="87" s="1"/>
  <c r="L22" i="87" s="1"/>
  <c r="M21" i="45"/>
  <c r="I18" i="31" s="1"/>
  <c r="I24" i="45"/>
  <c r="M11" i="68"/>
  <c r="D33" i="45" l="1"/>
  <c r="K24" i="45"/>
  <c r="K27" i="45" s="1"/>
  <c r="K33" i="45" s="1"/>
  <c r="E24" i="45"/>
  <c r="E27" i="45" s="1"/>
  <c r="I9" i="4"/>
  <c r="K18" i="31"/>
  <c r="G9" i="4"/>
  <c r="I27" i="45"/>
  <c r="I33" i="45" s="1"/>
  <c r="I28" i="45"/>
  <c r="C27" i="45"/>
  <c r="C38" i="96" l="1"/>
  <c r="D38" i="108"/>
  <c r="N33" i="45"/>
  <c r="K28" i="45"/>
  <c r="I34" i="45"/>
  <c r="I35" i="45" s="1"/>
  <c r="K34" i="45"/>
  <c r="K35" i="45" s="1"/>
  <c r="M24" i="45"/>
  <c r="I17" i="31"/>
  <c r="M17" i="31" s="1"/>
  <c r="M27" i="45"/>
  <c r="E24" i="48"/>
  <c r="E26" i="48"/>
  <c r="E27" i="48" s="1"/>
  <c r="E28" i="48"/>
  <c r="F14" i="48"/>
  <c r="G14" i="48"/>
  <c r="G31" i="48" s="1"/>
  <c r="C14" i="48"/>
  <c r="E10" i="48"/>
  <c r="D39" i="108" l="1"/>
  <c r="F39" i="108" s="1"/>
  <c r="F38" i="108"/>
  <c r="D40" i="108"/>
  <c r="F40" i="108" s="1"/>
  <c r="J17" i="31"/>
  <c r="G24" i="96"/>
  <c r="G22" i="96"/>
  <c r="G10" i="96"/>
  <c r="G30" i="96"/>
  <c r="G32" i="96"/>
  <c r="G28" i="96"/>
  <c r="G20" i="96"/>
  <c r="G16" i="96"/>
  <c r="G18" i="96"/>
  <c r="G12" i="96"/>
  <c r="G14" i="96"/>
  <c r="G26" i="96"/>
  <c r="F30" i="96"/>
  <c r="F26" i="96"/>
  <c r="F18" i="96"/>
  <c r="F12" i="96"/>
  <c r="F10" i="96"/>
  <c r="F14" i="96"/>
  <c r="F24" i="96"/>
  <c r="F22" i="96"/>
  <c r="F32" i="96"/>
  <c r="F28" i="96"/>
  <c r="F20" i="96"/>
  <c r="F16" i="96"/>
  <c r="K17" i="31"/>
  <c r="K25" i="31" s="1"/>
  <c r="I25" i="31"/>
  <c r="L17" i="31" l="1"/>
  <c r="L25" i="31" s="1"/>
  <c r="N17" i="31"/>
  <c r="N25" i="31" s="1"/>
  <c r="J25" i="31"/>
  <c r="G34" i="96"/>
  <c r="G43" i="96" s="1"/>
  <c r="G8" i="96"/>
  <c r="I34" i="31"/>
  <c r="F34" i="96"/>
  <c r="F43" i="96" s="1"/>
  <c r="F8" i="96"/>
  <c r="B12" i="4"/>
  <c r="J13" i="18"/>
  <c r="I13" i="18"/>
  <c r="H13" i="18"/>
  <c r="G13" i="18"/>
  <c r="F16" i="91" l="1"/>
  <c r="C10" i="82"/>
  <c r="E16" i="91"/>
  <c r="C31" i="106"/>
  <c r="D31" i="106" s="1"/>
  <c r="J34" i="31"/>
  <c r="E12" i="4"/>
  <c r="C12" i="4"/>
  <c r="L13" i="18"/>
  <c r="J14" i="18"/>
  <c r="I14" i="18"/>
  <c r="H14" i="18"/>
  <c r="F55" i="104"/>
  <c r="D10" i="82" l="1"/>
  <c r="E10" i="82" s="1"/>
  <c r="F10" i="82" s="1"/>
  <c r="G10" i="82" s="1"/>
  <c r="H10" i="82" s="1"/>
  <c r="I10" i="82" s="1"/>
  <c r="J10" i="82" s="1"/>
  <c r="K10" i="82" s="1"/>
  <c r="L10" i="82" s="1"/>
  <c r="M10" i="82" s="1"/>
  <c r="N10" i="82" s="1"/>
  <c r="O10" i="82"/>
  <c r="M18" i="31"/>
  <c r="M25" i="31" l="1"/>
  <c r="G35" i="31"/>
  <c r="G34" i="31"/>
  <c r="D12" i="4" l="1"/>
  <c r="E24" i="93"/>
  <c r="E44" i="93"/>
  <c r="E57" i="93" l="1"/>
  <c r="E13" i="68"/>
  <c r="G45" i="31"/>
  <c r="G46" i="31" s="1"/>
  <c r="G49" i="97" l="1"/>
  <c r="G63" i="97" s="1"/>
  <c r="E20" i="68"/>
  <c r="E35" i="31" s="1"/>
  <c r="M26" i="31"/>
  <c r="M28" i="31" s="1"/>
  <c r="C28" i="31"/>
  <c r="F24" i="104" s="1"/>
  <c r="G65" i="97" l="1"/>
  <c r="G69" i="97" s="1"/>
  <c r="G35" i="97"/>
  <c r="D13" i="4"/>
  <c r="E27" i="68"/>
  <c r="E35" i="68" s="1"/>
  <c r="B27" i="96"/>
  <c r="H27" i="96" s="1"/>
  <c r="B15" i="96"/>
  <c r="H15" i="96" s="1"/>
  <c r="B19" i="96"/>
  <c r="H19" i="96" s="1"/>
  <c r="B33" i="96"/>
  <c r="H33" i="96" s="1"/>
  <c r="B25" i="96"/>
  <c r="H25" i="96" s="1"/>
  <c r="B17" i="96"/>
  <c r="H17" i="96" s="1"/>
  <c r="B31" i="96"/>
  <c r="H31" i="96" s="1"/>
  <c r="B23" i="96"/>
  <c r="H23" i="96" s="1"/>
  <c r="B13" i="96"/>
  <c r="H13" i="96" s="1"/>
  <c r="B29" i="96"/>
  <c r="H29" i="96" s="1"/>
  <c r="B21" i="96"/>
  <c r="H21" i="96" s="1"/>
  <c r="B11" i="96"/>
  <c r="H39" i="96"/>
  <c r="K28" i="31"/>
  <c r="C36" i="31"/>
  <c r="M36" i="31"/>
  <c r="E44" i="31" l="1"/>
  <c r="B35" i="96"/>
  <c r="B9" i="96"/>
  <c r="H9" i="96" s="1"/>
  <c r="H11" i="96"/>
  <c r="C28" i="41"/>
  <c r="D64" i="104"/>
  <c r="F64" i="104" s="1"/>
  <c r="K36" i="31"/>
  <c r="C37" i="106"/>
  <c r="C40" i="106" s="1"/>
  <c r="B13" i="4"/>
  <c r="D35" i="39"/>
  <c r="A2" i="91"/>
  <c r="A1" i="91"/>
  <c r="D29" i="91"/>
  <c r="D32" i="91" s="1"/>
  <c r="C29" i="91"/>
  <c r="C32" i="91" s="1"/>
  <c r="J27" i="91"/>
  <c r="J29" i="91" s="1"/>
  <c r="I27" i="91"/>
  <c r="I29" i="91" s="1"/>
  <c r="D22" i="91"/>
  <c r="C22" i="91"/>
  <c r="J21" i="91"/>
  <c r="I21" i="91"/>
  <c r="J16" i="91"/>
  <c r="J17" i="91" s="1"/>
  <c r="I16" i="91"/>
  <c r="I17" i="91" s="1"/>
  <c r="D18" i="91"/>
  <c r="G41" i="97" l="1"/>
  <c r="B32" i="96"/>
  <c r="E45" i="31"/>
  <c r="E46" i="31" s="1"/>
  <c r="D36" i="39"/>
  <c r="C18" i="68" s="1"/>
  <c r="M18" i="68" s="1"/>
  <c r="E36" i="39"/>
  <c r="E37" i="39" s="1"/>
  <c r="B44" i="96"/>
  <c r="H35" i="96"/>
  <c r="H44" i="96" s="1"/>
  <c r="J22" i="91"/>
  <c r="J30" i="91" s="1"/>
  <c r="D23" i="91"/>
  <c r="D33" i="91" s="1"/>
  <c r="I22" i="91"/>
  <c r="I30" i="91" s="1"/>
  <c r="C18" i="91"/>
  <c r="C23" i="91" s="1"/>
  <c r="C33" i="91" s="1"/>
  <c r="B18" i="96" l="1"/>
  <c r="B22" i="96"/>
  <c r="B16" i="96"/>
  <c r="B14" i="96"/>
  <c r="B28" i="96"/>
  <c r="B26" i="96"/>
  <c r="B12" i="96"/>
  <c r="B10" i="96"/>
  <c r="B20" i="96"/>
  <c r="B24" i="96"/>
  <c r="B30" i="96"/>
  <c r="D37" i="39"/>
  <c r="D18" i="68"/>
  <c r="D19" i="68" s="1"/>
  <c r="K18" i="68"/>
  <c r="C19" i="68"/>
  <c r="B8" i="96" l="1"/>
  <c r="B34" i="96"/>
  <c r="B43" i="96" s="1"/>
  <c r="L18" i="68"/>
  <c r="K15" i="91" s="1"/>
  <c r="K16" i="91" s="1"/>
  <c r="N18" i="68"/>
  <c r="L15" i="91" s="1"/>
  <c r="L16" i="91" s="1"/>
  <c r="D20" i="68" l="1"/>
  <c r="D27" i="68" l="1"/>
  <c r="H28" i="87" l="1"/>
  <c r="N28" i="87" s="1"/>
  <c r="E36" i="106" l="1"/>
  <c r="F36" i="106" s="1"/>
  <c r="F79" i="90"/>
  <c r="E11" i="87" s="1"/>
  <c r="F66" i="90"/>
  <c r="G63" i="90"/>
  <c r="G66" i="90" l="1"/>
  <c r="F75" i="90"/>
  <c r="E10" i="87" s="1"/>
  <c r="T11" i="87"/>
  <c r="Q11" i="87"/>
  <c r="G54" i="90"/>
  <c r="P11" i="87"/>
  <c r="S11" i="87"/>
  <c r="P8" i="87"/>
  <c r="S8" i="87"/>
  <c r="G41" i="90"/>
  <c r="F32" i="90" l="1"/>
  <c r="G37" i="90"/>
  <c r="S10" i="87"/>
  <c r="G75" i="90"/>
  <c r="C21" i="87"/>
  <c r="E9" i="87" l="1"/>
  <c r="E13" i="87" s="1"/>
  <c r="F81" i="90"/>
  <c r="G32" i="90"/>
  <c r="P10" i="87"/>
  <c r="T10" i="87"/>
  <c r="Q10" i="87"/>
  <c r="G50" i="90"/>
  <c r="F21" i="87"/>
  <c r="F13" i="87"/>
  <c r="F17" i="87"/>
  <c r="F9" i="104"/>
  <c r="F57" i="104"/>
  <c r="F53" i="104"/>
  <c r="F13" i="104"/>
  <c r="I13" i="87"/>
  <c r="I17" i="87"/>
  <c r="I21" i="87"/>
  <c r="O15" i="87"/>
  <c r="O16" i="87"/>
  <c r="O19" i="87"/>
  <c r="R15" i="87"/>
  <c r="R16" i="87"/>
  <c r="R9" i="87"/>
  <c r="R10" i="87"/>
  <c r="R11" i="87"/>
  <c r="R12" i="87"/>
  <c r="O9" i="87"/>
  <c r="O10" i="87"/>
  <c r="O11" i="87"/>
  <c r="O12" i="87"/>
  <c r="E11" i="48"/>
  <c r="D12" i="48"/>
  <c r="E12" i="48"/>
  <c r="D13" i="48"/>
  <c r="E13" i="48" s="1"/>
  <c r="E19" i="48"/>
  <c r="E23" i="48"/>
  <c r="E29" i="48" s="1"/>
  <c r="E36" i="48"/>
  <c r="E37" i="48"/>
  <c r="A1" i="25"/>
  <c r="A1" i="87"/>
  <c r="G17" i="18"/>
  <c r="A2" i="82"/>
  <c r="A1" i="82"/>
  <c r="O24" i="82"/>
  <c r="O23" i="82"/>
  <c r="O16" i="82"/>
  <c r="O13" i="82"/>
  <c r="O11" i="82"/>
  <c r="A2" i="55"/>
  <c r="A2" i="106" s="1"/>
  <c r="A1" i="55"/>
  <c r="A1" i="106" s="1"/>
  <c r="A1" i="112" s="1"/>
  <c r="J17" i="18"/>
  <c r="H17" i="18"/>
  <c r="O25" i="82"/>
  <c r="A2" i="48"/>
  <c r="A5" i="18"/>
  <c r="A4" i="18"/>
  <c r="A1" i="40"/>
  <c r="A1" i="88" s="1"/>
  <c r="A1" i="41"/>
  <c r="A1" i="39"/>
  <c r="A1" i="38"/>
  <c r="A1" i="23"/>
  <c r="A1" i="6"/>
  <c r="A2" i="104"/>
  <c r="A2" i="97" s="1"/>
  <c r="A2" i="98" s="1"/>
  <c r="A1" i="45"/>
  <c r="A1" i="104" s="1"/>
  <c r="A1" i="97" s="1"/>
  <c r="A1" i="98" s="1"/>
  <c r="A1" i="31"/>
  <c r="A1" i="68"/>
  <c r="A1" i="48"/>
  <c r="E16" i="18"/>
  <c r="F16" i="18"/>
  <c r="E17" i="18"/>
  <c r="H16" i="18"/>
  <c r="I16" i="18"/>
  <c r="J16" i="18"/>
  <c r="G16" i="18"/>
  <c r="L15" i="18"/>
  <c r="L16" i="18" s="1"/>
  <c r="C9" i="55"/>
  <c r="I17" i="18"/>
  <c r="K17" i="18"/>
  <c r="B22" i="25"/>
  <c r="L12" i="18"/>
  <c r="K16" i="18"/>
  <c r="E18" i="87" l="1"/>
  <c r="E22" i="87" s="1"/>
  <c r="D8" i="31"/>
  <c r="C8" i="31"/>
  <c r="P9" i="87"/>
  <c r="P13" i="87" s="1"/>
  <c r="P18" i="87" s="1"/>
  <c r="P22" i="87" s="1"/>
  <c r="S9" i="87"/>
  <c r="S13" i="87" s="1"/>
  <c r="S18" i="87" s="1"/>
  <c r="S22" i="87" s="1"/>
  <c r="A1" i="108"/>
  <c r="A1" i="109" s="1"/>
  <c r="A1" i="101" s="1"/>
  <c r="A1" i="102" s="1"/>
  <c r="A1" i="103" s="1"/>
  <c r="A2" i="108"/>
  <c r="A2" i="109" s="1"/>
  <c r="A2" i="101" s="1"/>
  <c r="A2" i="102" s="1"/>
  <c r="A2" i="103" s="1"/>
  <c r="A2" i="87" s="1"/>
  <c r="A2" i="90" s="1"/>
  <c r="A2" i="113" s="1"/>
  <c r="A1" i="90"/>
  <c r="A1" i="113" s="1"/>
  <c r="K18" i="18"/>
  <c r="K19" i="18" s="1"/>
  <c r="I18" i="18"/>
  <c r="I19" i="18" s="1"/>
  <c r="E19" i="18"/>
  <c r="D29" i="23"/>
  <c r="F12" i="104"/>
  <c r="F54" i="104"/>
  <c r="F59" i="104"/>
  <c r="H32" i="18"/>
  <c r="G21" i="18" s="1"/>
  <c r="H21" i="18" s="1"/>
  <c r="I21" i="18" s="1"/>
  <c r="J21" i="18" s="1"/>
  <c r="G18" i="18"/>
  <c r="G19" i="18" s="1"/>
  <c r="F18" i="18"/>
  <c r="F19" i="18" s="1"/>
  <c r="D14" i="48"/>
  <c r="D31" i="48" s="1"/>
  <c r="F31" i="48"/>
  <c r="L14" i="18"/>
  <c r="L17" i="18" s="1"/>
  <c r="L18" i="18" s="1"/>
  <c r="L19" i="18" s="1"/>
  <c r="E14" i="48"/>
  <c r="E31" i="48" s="1"/>
  <c r="F51" i="104"/>
  <c r="F18" i="87"/>
  <c r="F22" i="87" s="1"/>
  <c r="O21" i="87"/>
  <c r="R8" i="87"/>
  <c r="R13" i="87" s="1"/>
  <c r="O8" i="87"/>
  <c r="O13" i="87" s="1"/>
  <c r="C18" i="87"/>
  <c r="C22" i="87" s="1"/>
  <c r="O17" i="87"/>
  <c r="R17" i="87"/>
  <c r="H18" i="18"/>
  <c r="H19" i="18" s="1"/>
  <c r="J18" i="18"/>
  <c r="J19" i="18" s="1"/>
  <c r="I18" i="87"/>
  <c r="I22" i="87" s="1"/>
  <c r="A2" i="25" l="1"/>
  <c r="A2" i="23" s="1"/>
  <c r="A2" i="92" s="1"/>
  <c r="A2" i="93" s="1"/>
  <c r="A2" i="38" s="1"/>
  <c r="A2" i="39" s="1"/>
  <c r="A2" i="41" s="1"/>
  <c r="A2" i="40" s="1"/>
  <c r="A2" i="88" s="1"/>
  <c r="D18" i="87"/>
  <c r="D22" i="87" s="1"/>
  <c r="T9" i="87"/>
  <c r="T13" i="87" s="1"/>
  <c r="Q9" i="87"/>
  <c r="Q13" i="87" s="1"/>
  <c r="K8" i="31"/>
  <c r="M8" i="31"/>
  <c r="E35" i="106"/>
  <c r="F35" i="106" s="1"/>
  <c r="C10" i="31"/>
  <c r="C34" i="31" s="1"/>
  <c r="C46" i="31" s="1"/>
  <c r="F58" i="104"/>
  <c r="O18" i="87"/>
  <c r="O22" i="87" s="1"/>
  <c r="F22" i="91"/>
  <c r="F36" i="104"/>
  <c r="D38" i="104"/>
  <c r="D40" i="104" s="1"/>
  <c r="F40" i="104" s="1"/>
  <c r="D64" i="97"/>
  <c r="F60" i="104"/>
  <c r="R18" i="87"/>
  <c r="R22" i="87" s="1"/>
  <c r="E16" i="106"/>
  <c r="F16" i="106" s="1"/>
  <c r="E9" i="106"/>
  <c r="F9" i="106" s="1"/>
  <c r="E32" i="106"/>
  <c r="F32" i="106" s="1"/>
  <c r="D8" i="104" l="1"/>
  <c r="M10" i="31"/>
  <c r="M34" i="31" s="1"/>
  <c r="M46" i="31" s="1"/>
  <c r="D9" i="92"/>
  <c r="D38" i="92" s="1"/>
  <c r="C13" i="68" s="1"/>
  <c r="K10" i="31"/>
  <c r="M28" i="68"/>
  <c r="K28" i="68"/>
  <c r="E8" i="106"/>
  <c r="F8" i="106" s="1"/>
  <c r="F11" i="104"/>
  <c r="D30" i="104"/>
  <c r="F30" i="104" s="1"/>
  <c r="F14" i="104"/>
  <c r="F15" i="104" s="1"/>
  <c r="D15" i="104"/>
  <c r="D63" i="97"/>
  <c r="F38" i="104"/>
  <c r="D36" i="97"/>
  <c r="K21" i="91"/>
  <c r="F29" i="91"/>
  <c r="F32" i="91" s="1"/>
  <c r="E11" i="106"/>
  <c r="F11" i="106" s="1"/>
  <c r="E30" i="106"/>
  <c r="F30" i="106" s="1"/>
  <c r="E14" i="106"/>
  <c r="F14" i="106" s="1"/>
  <c r="F8" i="104" l="1"/>
  <c r="F10" i="104" s="1"/>
  <c r="D10" i="104"/>
  <c r="D29" i="104" s="1"/>
  <c r="L8" i="31"/>
  <c r="E8" i="91" s="1"/>
  <c r="D10" i="31"/>
  <c r="N8" i="31"/>
  <c r="F8" i="91" s="1"/>
  <c r="D9" i="4"/>
  <c r="D16" i="4" s="1"/>
  <c r="D18" i="4" s="1"/>
  <c r="F50" i="104"/>
  <c r="D65" i="97"/>
  <c r="B9" i="4"/>
  <c r="B16" i="4" s="1"/>
  <c r="E22" i="91"/>
  <c r="K34" i="31"/>
  <c r="M13" i="68"/>
  <c r="K13" i="68"/>
  <c r="K17" i="91" s="1"/>
  <c r="K22" i="91" s="1"/>
  <c r="C20" i="68"/>
  <c r="C35" i="31" s="1"/>
  <c r="K30" i="68"/>
  <c r="M30" i="68"/>
  <c r="D33" i="104"/>
  <c r="F33" i="104" s="1"/>
  <c r="L21" i="91"/>
  <c r="E31" i="106"/>
  <c r="F31" i="106" s="1"/>
  <c r="D35" i="97"/>
  <c r="D41" i="106"/>
  <c r="E15" i="106"/>
  <c r="D17" i="106"/>
  <c r="D31" i="104" l="1"/>
  <c r="F31" i="104" s="1"/>
  <c r="F41" i="104" s="1"/>
  <c r="F29" i="104"/>
  <c r="D34" i="31"/>
  <c r="D46" i="31" s="1"/>
  <c r="D35" i="31"/>
  <c r="D69" i="97"/>
  <c r="L27" i="91"/>
  <c r="L29" i="91" s="1"/>
  <c r="C22" i="106"/>
  <c r="D32" i="104"/>
  <c r="F32" i="104" s="1"/>
  <c r="D66" i="104"/>
  <c r="F66" i="104" s="1"/>
  <c r="I11" i="4"/>
  <c r="L17" i="91"/>
  <c r="L22" i="91" s="1"/>
  <c r="G11" i="4"/>
  <c r="C27" i="68"/>
  <c r="D42" i="97"/>
  <c r="G42" i="97" s="1"/>
  <c r="G43" i="97" s="1"/>
  <c r="M34" i="68"/>
  <c r="I18" i="4" s="1"/>
  <c r="D45" i="106"/>
  <c r="D48" i="106" s="1"/>
  <c r="E41" i="106"/>
  <c r="F15" i="106"/>
  <c r="F17" i="106" s="1"/>
  <c r="E17" i="106"/>
  <c r="D41" i="104" l="1"/>
  <c r="E19" i="106"/>
  <c r="L30" i="91"/>
  <c r="O22" i="82"/>
  <c r="D37" i="106"/>
  <c r="D40" i="106" s="1"/>
  <c r="E34" i="106"/>
  <c r="D43" i="97"/>
  <c r="F41" i="106"/>
  <c r="F45" i="106" s="1"/>
  <c r="F48" i="106" s="1"/>
  <c r="E45" i="106"/>
  <c r="E48" i="106" s="1"/>
  <c r="D22" i="106" l="1"/>
  <c r="E10" i="106"/>
  <c r="F19" i="106"/>
  <c r="F22" i="106" s="1"/>
  <c r="E22" i="106"/>
  <c r="F34" i="106"/>
  <c r="F37" i="106" s="1"/>
  <c r="E37" i="106"/>
  <c r="F10" i="106" l="1"/>
  <c r="F40" i="106"/>
  <c r="E40" i="106"/>
  <c r="E47" i="45"/>
  <c r="J19" i="68"/>
  <c r="C28" i="45"/>
  <c r="I19" i="68"/>
  <c r="E28" i="45" l="1"/>
  <c r="M47" i="45"/>
  <c r="E52" i="45"/>
  <c r="M52" i="45" s="1"/>
  <c r="D28" i="45"/>
  <c r="I20" i="68"/>
  <c r="M19" i="68"/>
  <c r="K19" i="68"/>
  <c r="L19" i="68"/>
  <c r="N19" i="68"/>
  <c r="N20" i="68" s="1"/>
  <c r="J20" i="68"/>
  <c r="M28" i="45"/>
  <c r="C21" i="82" l="1"/>
  <c r="D21" i="82" s="1"/>
  <c r="E21" i="82" s="1"/>
  <c r="F21" i="82" s="1"/>
  <c r="G21" i="82" s="1"/>
  <c r="H21" i="82" s="1"/>
  <c r="I21" i="82" s="1"/>
  <c r="J21" i="82" s="1"/>
  <c r="K21" i="82" s="1"/>
  <c r="L21" i="82" s="1"/>
  <c r="M21" i="82" s="1"/>
  <c r="N21" i="82" s="1"/>
  <c r="C12" i="106"/>
  <c r="D12" i="106" s="1"/>
  <c r="L20" i="68"/>
  <c r="C33" i="45"/>
  <c r="C34" i="45" s="1"/>
  <c r="E33" i="45"/>
  <c r="J35" i="31"/>
  <c r="J27" i="68"/>
  <c r="J35" i="68" s="1"/>
  <c r="D34" i="45"/>
  <c r="N34" i="45" s="1"/>
  <c r="K20" i="68"/>
  <c r="G13" i="4"/>
  <c r="G17" i="4" s="1"/>
  <c r="J13" i="4"/>
  <c r="I13" i="4"/>
  <c r="I17" i="4" s="1"/>
  <c r="I19" i="4" s="1"/>
  <c r="M20" i="68"/>
  <c r="H13" i="4"/>
  <c r="H17" i="4" s="1"/>
  <c r="I35" i="31"/>
  <c r="I27" i="68"/>
  <c r="I35" i="68" s="1"/>
  <c r="M33" i="45" l="1"/>
  <c r="I44" i="31" s="1"/>
  <c r="J17" i="4"/>
  <c r="J19" i="4" s="1"/>
  <c r="E34" i="45"/>
  <c r="E35" i="45" s="1"/>
  <c r="F29" i="82"/>
  <c r="I29" i="82"/>
  <c r="L29" i="82"/>
  <c r="D29" i="82"/>
  <c r="G29" i="82"/>
  <c r="J29" i="82"/>
  <c r="M29" i="82"/>
  <c r="M27" i="68"/>
  <c r="M35" i="68" s="1"/>
  <c r="M35" i="31"/>
  <c r="K29" i="82"/>
  <c r="H29" i="82"/>
  <c r="E29" i="82"/>
  <c r="N29" i="82"/>
  <c r="J44" i="31"/>
  <c r="N27" i="68"/>
  <c r="N35" i="68" s="1"/>
  <c r="C13" i="106"/>
  <c r="D35" i="45"/>
  <c r="N35" i="45" s="1"/>
  <c r="H38" i="96"/>
  <c r="C26" i="96"/>
  <c r="C20" i="96"/>
  <c r="C22" i="96"/>
  <c r="C16" i="96"/>
  <c r="C28" i="96"/>
  <c r="C30" i="96"/>
  <c r="C24" i="96"/>
  <c r="C18" i="96"/>
  <c r="C14" i="96"/>
  <c r="C10" i="96"/>
  <c r="C32" i="96"/>
  <c r="C12" i="96"/>
  <c r="L27" i="68"/>
  <c r="K35" i="31"/>
  <c r="K27" i="68"/>
  <c r="M34" i="45"/>
  <c r="C35" i="45"/>
  <c r="C33" i="68"/>
  <c r="M35" i="45" l="1"/>
  <c r="D26" i="96"/>
  <c r="H26" i="96" s="1"/>
  <c r="D12" i="96"/>
  <c r="H12" i="96" s="1"/>
  <c r="D16" i="96"/>
  <c r="H16" i="96" s="1"/>
  <c r="D20" i="96"/>
  <c r="H20" i="96" s="1"/>
  <c r="D14" i="96"/>
  <c r="H14" i="96" s="1"/>
  <c r="D24" i="96"/>
  <c r="H24" i="96" s="1"/>
  <c r="D22" i="96"/>
  <c r="H22" i="96" s="1"/>
  <c r="D28" i="96"/>
  <c r="H28" i="96" s="1"/>
  <c r="D32" i="96"/>
  <c r="H32" i="96" s="1"/>
  <c r="D10" i="96"/>
  <c r="H10" i="96" s="1"/>
  <c r="D30" i="96"/>
  <c r="H30" i="96" s="1"/>
  <c r="D18" i="96"/>
  <c r="H18" i="96" s="1"/>
  <c r="C34" i="96"/>
  <c r="C8" i="96"/>
  <c r="D13" i="106"/>
  <c r="E12" i="106"/>
  <c r="J45" i="31"/>
  <c r="J46" i="31" s="1"/>
  <c r="C29" i="82"/>
  <c r="O21" i="82"/>
  <c r="C34" i="68"/>
  <c r="C35" i="68" s="1"/>
  <c r="K33" i="68"/>
  <c r="D32" i="23" s="1"/>
  <c r="K44" i="31"/>
  <c r="I45" i="31"/>
  <c r="I46" i="31" s="1"/>
  <c r="C18" i="106"/>
  <c r="C23" i="106" s="1"/>
  <c r="D34" i="96" l="1"/>
  <c r="D43" i="96" s="1"/>
  <c r="D8" i="96"/>
  <c r="H8" i="96" s="1"/>
  <c r="K45" i="31"/>
  <c r="K34" i="68"/>
  <c r="D33" i="23"/>
  <c r="D36" i="23" s="1"/>
  <c r="O29" i="82"/>
  <c r="E13" i="106"/>
  <c r="F12" i="106"/>
  <c r="F13" i="106" s="1"/>
  <c r="D18" i="106"/>
  <c r="D23" i="106" s="1"/>
  <c r="C43" i="96"/>
  <c r="H34" i="96" l="1"/>
  <c r="H43" i="96" s="1"/>
  <c r="E18" i="106"/>
  <c r="E23" i="106" s="1"/>
  <c r="F18" i="106"/>
  <c r="F23" i="106" s="1"/>
  <c r="G18" i="4"/>
  <c r="G19" i="4" s="1"/>
  <c r="K35" i="68"/>
  <c r="K46" i="31"/>
  <c r="B17" i="4"/>
  <c r="B18" i="4" s="1"/>
  <c r="N9" i="31" l="1"/>
  <c r="L9" i="31"/>
  <c r="T16" i="87"/>
  <c r="H10" i="31"/>
  <c r="L10" i="31" l="1"/>
  <c r="L34" i="31" s="1"/>
  <c r="E10" i="91"/>
  <c r="E11" i="91" s="1"/>
  <c r="E18" i="91" s="1"/>
  <c r="E23" i="91" s="1"/>
  <c r="N10" i="31"/>
  <c r="F10" i="91"/>
  <c r="F11" i="91" s="1"/>
  <c r="F18" i="91" s="1"/>
  <c r="F23" i="91" s="1"/>
  <c r="F33" i="91" s="1"/>
  <c r="H35" i="31"/>
  <c r="D11" i="98"/>
  <c r="F11" i="98" s="1"/>
  <c r="H34" i="31"/>
  <c r="H44" i="31" s="1"/>
  <c r="D33" i="68" s="1"/>
  <c r="D69" i="104" s="1"/>
  <c r="E9" i="4"/>
  <c r="E16" i="4" s="1"/>
  <c r="E18" i="4" s="1"/>
  <c r="Q16" i="87"/>
  <c r="N34" i="31" l="1"/>
  <c r="N46" i="31" s="1"/>
  <c r="D12" i="82"/>
  <c r="C12" i="82"/>
  <c r="L35" i="31"/>
  <c r="D70" i="104"/>
  <c r="F69" i="104"/>
  <c r="L44" i="31"/>
  <c r="D38" i="98"/>
  <c r="N35" i="31"/>
  <c r="C9" i="4"/>
  <c r="C16" i="4" s="1"/>
  <c r="C29" i="106"/>
  <c r="D29" i="106" s="1"/>
  <c r="H45" i="31"/>
  <c r="H46" i="31" s="1"/>
  <c r="D34" i="68"/>
  <c r="D35" i="68" s="1"/>
  <c r="K22" i="87"/>
  <c r="T17" i="87"/>
  <c r="T18" i="87" s="1"/>
  <c r="T22" i="87" s="1"/>
  <c r="Q17" i="87"/>
  <c r="C18" i="82" l="1"/>
  <c r="C31" i="82" s="1"/>
  <c r="E12" i="82"/>
  <c r="D18" i="82"/>
  <c r="D31" i="82" s="1"/>
  <c r="D71" i="104"/>
  <c r="F70" i="104"/>
  <c r="Q18" i="87"/>
  <c r="Q22" i="87" s="1"/>
  <c r="D39" i="98"/>
  <c r="F38" i="98"/>
  <c r="C33" i="106"/>
  <c r="E28" i="91"/>
  <c r="E29" i="91" s="1"/>
  <c r="E32" i="91" s="1"/>
  <c r="E33" i="91" s="1"/>
  <c r="L45" i="31"/>
  <c r="L46" i="31" s="1"/>
  <c r="L33" i="68"/>
  <c r="E32" i="23" s="1"/>
  <c r="F12" i="82" l="1"/>
  <c r="E18" i="82"/>
  <c r="E31" i="82" s="1"/>
  <c r="F71" i="104"/>
  <c r="C17" i="4"/>
  <c r="C18" i="4" s="1"/>
  <c r="F39" i="98"/>
  <c r="D40" i="98"/>
  <c r="F40" i="98" s="1"/>
  <c r="L34" i="68"/>
  <c r="L35" i="68" s="1"/>
  <c r="K26" i="91"/>
  <c r="K27" i="91" s="1"/>
  <c r="K29" i="91" s="1"/>
  <c r="K30" i="91" s="1"/>
  <c r="E29" i="106"/>
  <c r="D33" i="106"/>
  <c r="D38" i="106" s="1"/>
  <c r="D49" i="106" s="1"/>
  <c r="C38" i="106"/>
  <c r="C49" i="106" s="1"/>
  <c r="C39" i="106"/>
  <c r="E33" i="23"/>
  <c r="E36" i="23" s="1"/>
  <c r="G12" i="82" l="1"/>
  <c r="F18" i="82"/>
  <c r="F31" i="82" s="1"/>
  <c r="H18" i="4"/>
  <c r="H19" i="4" s="1"/>
  <c r="F29" i="106"/>
  <c r="F33" i="106" s="1"/>
  <c r="F38" i="106" s="1"/>
  <c r="F49" i="106" s="1"/>
  <c r="E33" i="106"/>
  <c r="E38" i="106" s="1"/>
  <c r="E49" i="106" s="1"/>
  <c r="D39" i="106"/>
  <c r="H12" i="82" l="1"/>
  <c r="G18" i="82"/>
  <c r="G31" i="82" s="1"/>
  <c r="E39" i="106"/>
  <c r="F39" i="106"/>
  <c r="I12" i="82" l="1"/>
  <c r="H18" i="82"/>
  <c r="H31" i="82" s="1"/>
  <c r="J12" i="82" l="1"/>
  <c r="I18" i="82"/>
  <c r="I31" i="82" s="1"/>
  <c r="K12" i="82" l="1"/>
  <c r="J18" i="82"/>
  <c r="J31" i="82" s="1"/>
  <c r="L12" i="82" l="1"/>
  <c r="K18" i="82"/>
  <c r="K31" i="82" s="1"/>
  <c r="M12" i="82" l="1"/>
  <c r="L18" i="82"/>
  <c r="L31" i="82" s="1"/>
  <c r="N12" i="82" l="1"/>
  <c r="M18" i="82"/>
  <c r="M31" i="82" s="1"/>
  <c r="N18" i="82" l="1"/>
  <c r="N31" i="82" s="1"/>
  <c r="O12" i="82"/>
  <c r="O18" i="82" l="1"/>
  <c r="O31" i="82" l="1"/>
</calcChain>
</file>

<file path=xl/sharedStrings.xml><?xml version="1.0" encoding="utf-8"?>
<sst xmlns="http://schemas.openxmlformats.org/spreadsheetml/2006/main" count="2658" uniqueCount="1154">
  <si>
    <t>Pilisvörösvár Város Önkormányzata három évre való előre tekintés a várható bevételekről és kiadásokról</t>
  </si>
  <si>
    <t xml:space="preserve">Egyéb működési bevételek </t>
  </si>
  <si>
    <t>Könyvkiadás</t>
  </si>
  <si>
    <t>Sorsz.</t>
  </si>
  <si>
    <t>1. a helyi adóból és települési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</si>
  <si>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</si>
  <si>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</si>
  <si>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</si>
  <si>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</si>
  <si>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megtérülés.”</t>
  </si>
  <si>
    <t>2/1. melléklet</t>
  </si>
  <si>
    <t>2/2.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</si>
  <si>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</si>
  <si>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</si>
  <si>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</si>
  <si>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</si>
  <si>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</si>
  <si>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</si>
  <si>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 melléklet</t>
  </si>
  <si>
    <t>10.  melléklet</t>
  </si>
  <si>
    <t>27. melléklet</t>
  </si>
  <si>
    <t>28. melléklet</t>
  </si>
  <si>
    <t>29. melléklet</t>
  </si>
  <si>
    <t>(1) szociális étkeztetés</t>
  </si>
  <si>
    <t>f)</t>
  </si>
  <si>
    <t>(2) Időskorúak nappali intézményi ellátása - társulás által történő feladatellátás</t>
  </si>
  <si>
    <t>g)</t>
  </si>
  <si>
    <t>(2) Fogyatékos  személyek nappali intézményi ellátása - társulás által történő feladatellátás</t>
  </si>
  <si>
    <t>A települési önkormányzatok által biztosított egyes szociális szakosított ellátások, valamint a gyermekek átmeneti gondozásával kapcsolatos feladatok támogatása</t>
  </si>
  <si>
    <t xml:space="preserve">A finanszírozás szempontjából elismert szakmai dolgozók bértámogatása </t>
  </si>
  <si>
    <t xml:space="preserve">Intézmény-üzemeltetési támogatás </t>
  </si>
  <si>
    <t>Gyermekétkeztetés támogatása</t>
  </si>
  <si>
    <t xml:space="preserve">A finanszírozás szempontjából elismert  dolgozók bértámogatása </t>
  </si>
  <si>
    <t>Gyermekétkeztetés üzemeltetési támogatása</t>
  </si>
  <si>
    <t xml:space="preserve">A TELEPÜLÉSI ÖNKORMÁNYZATOK SZOCIÁLIS , GYERMEKJÓLÉTI ÉS GYERMEKÉTKEZTETÉSI FELADATAINAK TÁMOGATÁSA ÖSSZESEN </t>
  </si>
  <si>
    <t>IV.</t>
  </si>
  <si>
    <t xml:space="preserve">Könyvtári, közművelődési és múzeumi feladatok támogatása összesen </t>
  </si>
  <si>
    <t xml:space="preserve"> A TELEPÜLÉSI ÖNKORMÁNYZATOK KULTURÁLIS FELADATAINAK TÁMOGATÁSA ÖSSZESEN </t>
  </si>
  <si>
    <t xml:space="preserve">Ellátottak pénzbeli juttatásai </t>
  </si>
  <si>
    <t>Egyéb közhatalmi bevételek (igazgatási szolgáltatási díjak, helyszíni, egyéb, helyi adópótlék és bírság)</t>
  </si>
  <si>
    <t>Sor-szám</t>
  </si>
  <si>
    <t xml:space="preserve">Finanszírozási kiadások </t>
  </si>
  <si>
    <t>Működési célú pénzeszközátvétel egyházaktól</t>
  </si>
  <si>
    <t xml:space="preserve">Működési célú pénzeszközátvétel háztartásoktól </t>
  </si>
  <si>
    <t xml:space="preserve">Működési célú pénzeszközátvétel pénzügyi vállalkozásoktól </t>
  </si>
  <si>
    <t>Működési célú pénzeszközátvétel önkormányzatoktól</t>
  </si>
  <si>
    <t>Működési célú pénzeszközátvétel vállalkozástól (Vízművek Kft)</t>
  </si>
  <si>
    <t xml:space="preserve">Működési célú pénzeszközátvétel az Európai Unió költségvetéséből </t>
  </si>
  <si>
    <t xml:space="preserve">Működési célú pénzeszközátvétel kormányoktól és nemzetközi szervezetektől </t>
  </si>
  <si>
    <t>Működési célú pénzeszközátvétel egyéb külföldi forrásból</t>
  </si>
  <si>
    <t xml:space="preserve">Működési célú garancia- és kezességvállalásból származó megtérülések államháztartáson kívülről </t>
  </si>
  <si>
    <t xml:space="preserve">Felhalmozási célú pénzeszközátvétel non-profit szervezetektől </t>
  </si>
  <si>
    <t xml:space="preserve">Felhalmozási célú pénzeszközátvétel egyházaktól </t>
  </si>
  <si>
    <t xml:space="preserve">Felhalmozási célú pénzeszközátvétel pénzügyi vállalkozásoktól </t>
  </si>
  <si>
    <t>Felhalmozási célú pénzeszközátvétel önkormányzati többségi tulajdonú vállalkozástól</t>
  </si>
  <si>
    <t xml:space="preserve">Felhalmozási célra kapott juttatások az Európai Unió költségvetéséből </t>
  </si>
  <si>
    <t>Felhalmozási célra kapott juttatások kormányoktól és nemzetközi szervezetektől</t>
  </si>
  <si>
    <t xml:space="preserve">Felhalmozási célra kapott juttatások egyéb külföldi forrásból </t>
  </si>
  <si>
    <t xml:space="preserve">Felhalmozási célú garancia- és kezességvállalásból származó megtérülések államháztartáson kívülről </t>
  </si>
  <si>
    <t>Sorszám</t>
  </si>
  <si>
    <t>Települési támogatások - Rendkívüli települési támogatás</t>
  </si>
  <si>
    <t>Kiszámlázott termékek, szolgáltatások (ÁHB, ÁHK közvetített szolg)</t>
  </si>
  <si>
    <t xml:space="preserve">BEVÉTELEK ÖSSZESEN </t>
  </si>
  <si>
    <t>Bevételek</t>
  </si>
  <si>
    <t>Kiadások</t>
  </si>
  <si>
    <t>sor-szám</t>
  </si>
  <si>
    <t>fő, óra-szám db</t>
  </si>
  <si>
    <t>mutató</t>
  </si>
  <si>
    <t>összesen Ft:</t>
  </si>
  <si>
    <t>összesen eFt:</t>
  </si>
  <si>
    <t>Bölcsődei étkezés</t>
  </si>
  <si>
    <t>B410</t>
  </si>
  <si>
    <t>Értékesített tárgyi eszközök, immateriális javak általános forgalmi adója (felhalmozási bevétel áfa bevétele)</t>
  </si>
  <si>
    <t>B406</t>
  </si>
  <si>
    <t>B115-B116</t>
  </si>
  <si>
    <t>Működési célú központosított előirányzatok, Helyi önkormányzatok kiegészítő támogatásai</t>
  </si>
  <si>
    <t xml:space="preserve">B6 Működési célú pénzeszközátvételek államháztartáson kívülről </t>
  </si>
  <si>
    <t xml:space="preserve">B7 Felhalmozási célú pénzeszközátvételek államháztartáson kívülről </t>
  </si>
  <si>
    <t>Nem igazgatás, de ruha: Főzőkonyha póló, Temetőgondnok, Városgondnokság</t>
  </si>
  <si>
    <t>Gyermekétkeztetés támogatása (arányosított létszámmal)</t>
  </si>
  <si>
    <t xml:space="preserve">Óvodák </t>
  </si>
  <si>
    <t xml:space="preserve">III. 5. Gyermekétkeztetés támogatása </t>
  </si>
  <si>
    <t>Városi Napos Oldal Szociális Központ</t>
  </si>
  <si>
    <t>III.3.c (1) szociális étkeztetés</t>
  </si>
  <si>
    <t>III.3.g (2) fogyatékos személyek nappali intézményi ellátása - társulás által történő feladatellátás</t>
  </si>
  <si>
    <t>Reprezentációra jutó áfa</t>
  </si>
  <si>
    <t>Általános forgalmi adó visszatérülése</t>
  </si>
  <si>
    <t>25</t>
  </si>
  <si>
    <t>27</t>
  </si>
  <si>
    <t>0535112</t>
  </si>
  <si>
    <t>K123</t>
  </si>
  <si>
    <t>Reprezentáció</t>
  </si>
  <si>
    <t>Tartalékok összesen</t>
  </si>
  <si>
    <t>Irányító szervi támogatások folyósítása</t>
  </si>
  <si>
    <t>MFB-s fejlesztési célhitel (szennyvíztisztító telep és csatorna hálózat fejlesztés) törlesztése</t>
  </si>
  <si>
    <t>K11-K122</t>
  </si>
  <si>
    <t>K1107</t>
  </si>
  <si>
    <t xml:space="preserve"> - ebből Cafeteria (tájékoztató adat)</t>
  </si>
  <si>
    <t>Működési bevételek összesen</t>
  </si>
  <si>
    <t>Felhalmozási bevételek összesen</t>
  </si>
  <si>
    <t>Városi Napos Oldal Szociális Központ összesen:</t>
  </si>
  <si>
    <t xml:space="preserve"> </t>
  </si>
  <si>
    <t>Német Nemzetiségi Óvoda</t>
  </si>
  <si>
    <t>Magánszemélyek kommunális adója</t>
  </si>
  <si>
    <t>Helyi iparűzési adó</t>
  </si>
  <si>
    <t>Helyi adó pótlék, bírság</t>
  </si>
  <si>
    <t>Igazgatási szolgáltatási díjak</t>
  </si>
  <si>
    <t>Egyéb közhatalmi bevételek</t>
  </si>
  <si>
    <t>Önkormányzati lakás lakbér</t>
  </si>
  <si>
    <t>B341</t>
  </si>
  <si>
    <t>B351</t>
  </si>
  <si>
    <t>B35</t>
  </si>
  <si>
    <t>Termékek és szolgáltatások adói</t>
  </si>
  <si>
    <t>B3611</t>
  </si>
  <si>
    <t>B36126</t>
  </si>
  <si>
    <t>B36128</t>
  </si>
  <si>
    <t>Közvetített szolgáltatások értéke (továbbszámlázott szolgáltatások)</t>
  </si>
  <si>
    <t>Csatorna bérbeadás</t>
  </si>
  <si>
    <t>Haszonbérleti díj</t>
  </si>
  <si>
    <t>Betét után kapott kamat</t>
  </si>
  <si>
    <t>Egyéb kamatbevételek</t>
  </si>
  <si>
    <t>B403, B406</t>
  </si>
  <si>
    <t>B402, B406</t>
  </si>
  <si>
    <t>B401, B406</t>
  </si>
  <si>
    <t>Köztemető</t>
  </si>
  <si>
    <t xml:space="preserve">Szolgáltatások ellenértéke </t>
  </si>
  <si>
    <t>Krízis segély</t>
  </si>
  <si>
    <t>Települési támogatások - Lakhatáshoz kapcs. Rendszeres kiadások viseléséhez</t>
  </si>
  <si>
    <t>Települési támogatások - A 18. életévét betöltött tartósan beteg hozzátartozójának az ápolását, gondozását végző személy részére</t>
  </si>
  <si>
    <t>K502</t>
  </si>
  <si>
    <t>Elvonások és befizetések</t>
  </si>
  <si>
    <t>Lakosságorientált rendőrségi modell támogatás</t>
  </si>
  <si>
    <t>Szakorvosi Rendelőintézet háziorvosi szolgálat</t>
  </si>
  <si>
    <t>Német Nemzetiségi Önkormányzat  részére támogatás</t>
  </si>
  <si>
    <t>K507</t>
  </si>
  <si>
    <t>Működési célú garancia- és kezességvállalásból származó kifizetés államháztartáson kívülre</t>
  </si>
  <si>
    <t>K508</t>
  </si>
  <si>
    <t>Működési célú visszatérítendő támogatások, kölcsönök nyújtása államháztartáson kívülre</t>
  </si>
  <si>
    <t>K509</t>
  </si>
  <si>
    <t>Árkiegészítések, ártámogatások</t>
  </si>
  <si>
    <t>K510</t>
  </si>
  <si>
    <t>Kamattámogatások</t>
  </si>
  <si>
    <t xml:space="preserve">Civil szervezetek működési támogatása </t>
  </si>
  <si>
    <t>Családi napközi hozzájárulás</t>
  </si>
  <si>
    <t>Tartalékok</t>
  </si>
  <si>
    <t>Távközlési díjak (telefon, internet)</t>
  </si>
  <si>
    <t xml:space="preserve">Ügyvédi, ügygondnoki díjak </t>
  </si>
  <si>
    <t>Támogatási bevételek összesen</t>
  </si>
  <si>
    <t>B1-B2</t>
  </si>
  <si>
    <t>B36125</t>
  </si>
  <si>
    <t>Építésügyi bírság</t>
  </si>
  <si>
    <t>Összesen:</t>
  </si>
  <si>
    <t>Vagyoni típusú adó</t>
  </si>
  <si>
    <t>B34</t>
  </si>
  <si>
    <t>Óvodai étkeztetés</t>
  </si>
  <si>
    <t>Iskolai étkeztetés</t>
  </si>
  <si>
    <t xml:space="preserve">Hosszú lejáratú hitelek, kölcsönök felvétele </t>
  </si>
  <si>
    <t>B8111</t>
  </si>
  <si>
    <t>Pilisvörösvár Város Önkormányzat  2015. évi költségvetése</t>
  </si>
  <si>
    <t>kötelező feladatok</t>
  </si>
  <si>
    <t>önként vállalt feladatok</t>
  </si>
  <si>
    <t xml:space="preserve">Egyéb közhatalmi bevételek </t>
  </si>
  <si>
    <t>Egyéb felhalmozási célú támogatások államháztartáson belülre</t>
  </si>
  <si>
    <t xml:space="preserve">Tartalékok-Működési célú </t>
  </si>
  <si>
    <t>Termékek és szolgáltatások adói (Helyi iparűzési adó, gépjármű adó)</t>
  </si>
  <si>
    <t>Vagyoni típusú adó (magánszemélyek kommunális adója)</t>
  </si>
  <si>
    <t>Rovatszám</t>
  </si>
  <si>
    <t>0531113</t>
  </si>
  <si>
    <t>1</t>
  </si>
  <si>
    <t>K311</t>
  </si>
  <si>
    <t>0531114</t>
  </si>
  <si>
    <t>2</t>
  </si>
  <si>
    <t xml:space="preserve">Folyóirat-beszerzés </t>
  </si>
  <si>
    <t>0531119</t>
  </si>
  <si>
    <t>4</t>
  </si>
  <si>
    <t>0531211</t>
  </si>
  <si>
    <t>5</t>
  </si>
  <si>
    <t>K312</t>
  </si>
  <si>
    <t>0531212</t>
  </si>
  <si>
    <t>7</t>
  </si>
  <si>
    <t>Irodaszer-, nyomtatványbeszerzés</t>
  </si>
  <si>
    <t>0531214</t>
  </si>
  <si>
    <t>8</t>
  </si>
  <si>
    <t>Hajtó- és kenőanyag-beszerzés</t>
  </si>
  <si>
    <t>0531215</t>
  </si>
  <si>
    <t>9</t>
  </si>
  <si>
    <t>0531219</t>
  </si>
  <si>
    <t>10</t>
  </si>
  <si>
    <t>K31</t>
  </si>
  <si>
    <t>11</t>
  </si>
  <si>
    <t xml:space="preserve">Készletbeszerzés </t>
  </si>
  <si>
    <t>12</t>
  </si>
  <si>
    <t>K321</t>
  </si>
  <si>
    <t>0532119</t>
  </si>
  <si>
    <t>13</t>
  </si>
  <si>
    <t>0532211</t>
  </si>
  <si>
    <t>14</t>
  </si>
  <si>
    <t>K322</t>
  </si>
  <si>
    <t>K32</t>
  </si>
  <si>
    <t>15</t>
  </si>
  <si>
    <t xml:space="preserve">Kommunikációs szolgáltatások </t>
  </si>
  <si>
    <t>0533111</t>
  </si>
  <si>
    <t>16</t>
  </si>
  <si>
    <t>K331</t>
  </si>
  <si>
    <t xml:space="preserve">Villamosenergia-szolg. díjak </t>
  </si>
  <si>
    <t>0533112</t>
  </si>
  <si>
    <t>17</t>
  </si>
  <si>
    <t>Gázenergia-szolgi.díjak</t>
  </si>
  <si>
    <t>0533114</t>
  </si>
  <si>
    <t>18</t>
  </si>
  <si>
    <t>Víz- és csatornadíjak</t>
  </si>
  <si>
    <t>19</t>
  </si>
  <si>
    <t>053341</t>
  </si>
  <si>
    <t>K334</t>
  </si>
  <si>
    <t>22</t>
  </si>
  <si>
    <t>23</t>
  </si>
  <si>
    <t>24</t>
  </si>
  <si>
    <t>K335</t>
  </si>
  <si>
    <t>0533612</t>
  </si>
  <si>
    <t>26</t>
  </si>
  <si>
    <t>K336</t>
  </si>
  <si>
    <t>0533711</t>
  </si>
  <si>
    <t>28</t>
  </si>
  <si>
    <t>Biztosítási szolgi díjak</t>
  </si>
  <si>
    <t>0533719</t>
  </si>
  <si>
    <t>29</t>
  </si>
  <si>
    <t>30</t>
  </si>
  <si>
    <t>Postaköltség (csekkbefizetés költsége)</t>
  </si>
  <si>
    <t>31</t>
  </si>
  <si>
    <t>32</t>
  </si>
  <si>
    <t>33</t>
  </si>
  <si>
    <t>Üzemorvosi díjak</t>
  </si>
  <si>
    <t>K33</t>
  </si>
  <si>
    <t>34</t>
  </si>
  <si>
    <t xml:space="preserve">Szolgáltatási kiadások </t>
  </si>
  <si>
    <t>0534111</t>
  </si>
  <si>
    <t>35</t>
  </si>
  <si>
    <t>K341</t>
  </si>
  <si>
    <t>0534112</t>
  </si>
  <si>
    <t>36</t>
  </si>
  <si>
    <t>053421</t>
  </si>
  <si>
    <t>37</t>
  </si>
  <si>
    <t>K342</t>
  </si>
  <si>
    <t>K34</t>
  </si>
  <si>
    <t>38</t>
  </si>
  <si>
    <t xml:space="preserve">Kiküldetések, reklám- és propagandakiadások </t>
  </si>
  <si>
    <t>0535211</t>
  </si>
  <si>
    <t>39</t>
  </si>
  <si>
    <t>K353</t>
  </si>
  <si>
    <t>05353122</t>
  </si>
  <si>
    <t>ÁHK kapott kölcsönhöz k. kamat</t>
  </si>
  <si>
    <t>05353129</t>
  </si>
  <si>
    <t>ÁHK egyéb kamat</t>
  </si>
  <si>
    <t>0535512</t>
  </si>
  <si>
    <t>K355</t>
  </si>
  <si>
    <t>0535519</t>
  </si>
  <si>
    <t>Egyéb,különféle dologi kiadások: pl.  továbbképzések</t>
  </si>
  <si>
    <t>K35</t>
  </si>
  <si>
    <t xml:space="preserve">Különféle befizetések és egyéb dologi kiadások </t>
  </si>
  <si>
    <t>K84</t>
  </si>
  <si>
    <t>Hitel-, kölcsöntörlesztés államháztartáson kívülre</t>
  </si>
  <si>
    <t>Megnevezése</t>
  </si>
  <si>
    <t>K41</t>
  </si>
  <si>
    <t>Társadalombiztosítási ellátások</t>
  </si>
  <si>
    <t>K42</t>
  </si>
  <si>
    <t>Természetbeni támogatás (Rendszeres gyermekvédelmi kedvezményhez kapcsolódó)</t>
  </si>
  <si>
    <t>Pénzbeli ellátás + pótlék (régi neve: kiegészítő gyermekvédelmi támogatás)</t>
  </si>
  <si>
    <t>70 éven felüliek karácsonyi ajándékutalványa</t>
  </si>
  <si>
    <t>Családi támogatások</t>
  </si>
  <si>
    <t>K43</t>
  </si>
  <si>
    <t>Pénzbeli kárpótlások, kártérítések</t>
  </si>
  <si>
    <t>K45</t>
  </si>
  <si>
    <t>K46</t>
  </si>
  <si>
    <t>K47</t>
  </si>
  <si>
    <t>Intézményi ellátottak pénzbeli juttatásai</t>
  </si>
  <si>
    <t>K48</t>
  </si>
  <si>
    <t>Köztemetés</t>
  </si>
  <si>
    <t>Egyéb nem intézményi ellátások</t>
  </si>
  <si>
    <t>Cofog</t>
  </si>
  <si>
    <t>011130</t>
  </si>
  <si>
    <t xml:space="preserve">Igazgatási tevékenység </t>
  </si>
  <si>
    <t>013320</t>
  </si>
  <si>
    <t>Köztemető-fenntartási feladatok  (Üzemeltetési díj, vízdíj, karbantartás, állagmegóvás)</t>
  </si>
  <si>
    <t>013350</t>
  </si>
  <si>
    <t>Lakóingatlan üzemeltetése: Önkormányzati ingatlanok dologi kiadásai (energia, karbantartások, javítások, egyéb kiadások)</t>
  </si>
  <si>
    <t>045160</t>
  </si>
  <si>
    <t>051030</t>
  </si>
  <si>
    <t>064010</t>
  </si>
  <si>
    <t>Közvilágítás</t>
  </si>
  <si>
    <t>066010</t>
  </si>
  <si>
    <t>066020</t>
  </si>
  <si>
    <t>081030</t>
  </si>
  <si>
    <t>K3 Dologi kiadások összesen</t>
  </si>
  <si>
    <t>Rovat-szám</t>
  </si>
  <si>
    <t>K1</t>
  </si>
  <si>
    <t xml:space="preserve">Személyi juttatások </t>
  </si>
  <si>
    <t>K2</t>
  </si>
  <si>
    <t xml:space="preserve">Munkaadókat terhelő járulékok és szociális hozzájárulási adó                                                                            </t>
  </si>
  <si>
    <t>K3</t>
  </si>
  <si>
    <t xml:space="preserve">Dologi kiadások </t>
  </si>
  <si>
    <t>K4</t>
  </si>
  <si>
    <t>K506</t>
  </si>
  <si>
    <t>Egyéb működési célú támogatások államháztartáson belülre</t>
  </si>
  <si>
    <t>Egyéb működési célú támogatások államháztartáson kívülre</t>
  </si>
  <si>
    <t>K512</t>
  </si>
  <si>
    <t>Tartalékok-általános</t>
  </si>
  <si>
    <t>Tartalékok-Nevesített fejlesztési</t>
  </si>
  <si>
    <t>K5</t>
  </si>
  <si>
    <t xml:space="preserve">Egyéb működési célú kiadások </t>
  </si>
  <si>
    <t>K6</t>
  </si>
  <si>
    <t>K7</t>
  </si>
  <si>
    <t xml:space="preserve">Felújítások </t>
  </si>
  <si>
    <t>K88</t>
  </si>
  <si>
    <t xml:space="preserve">Egyéb felhalmozási célú támogatások államháztartáson kívülre </t>
  </si>
  <si>
    <t>K8</t>
  </si>
  <si>
    <t xml:space="preserve">Egyéb felhalmozási célú kiadások </t>
  </si>
  <si>
    <t>K1-K8</t>
  </si>
  <si>
    <t xml:space="preserve">Költségvetési kiadások </t>
  </si>
  <si>
    <t>K911</t>
  </si>
  <si>
    <t xml:space="preserve">Hitel-, kölcsöntörlesztés államháztartáson kívülre </t>
  </si>
  <si>
    <t>K912</t>
  </si>
  <si>
    <t xml:space="preserve">Belföldi értékpapírok kiadásai </t>
  </si>
  <si>
    <t>K91</t>
  </si>
  <si>
    <t xml:space="preserve">Belföldi finanszírozás kiadásai </t>
  </si>
  <si>
    <t>K92</t>
  </si>
  <si>
    <t xml:space="preserve">Külföldi finanszírozás kiadásai </t>
  </si>
  <si>
    <t>K93</t>
  </si>
  <si>
    <t>Adóssághoz nem kapcsolódó származékos ügyletek kiadásai</t>
  </si>
  <si>
    <t>K9</t>
  </si>
  <si>
    <t>ezer Ft</t>
  </si>
  <si>
    <t>Működési kiadások összesen</t>
  </si>
  <si>
    <t>Felhalmozási kiadások összesen</t>
  </si>
  <si>
    <t>K915</t>
  </si>
  <si>
    <t>Központi, irányító szervi támogatások folyósítása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</si>
  <si>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</si>
  <si>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</si>
  <si>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</si>
  <si>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</si>
  <si>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</si>
  <si>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</si>
  <si>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</si>
  <si>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</si>
  <si>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</si>
  <si>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</si>
  <si>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Finanszírozási bevételek és kiadások</t>
  </si>
  <si>
    <t xml:space="preserve">Rövid lejáratú hitelek, kölcsönök törlesztése </t>
  </si>
  <si>
    <t>K9113</t>
  </si>
  <si>
    <t>Likviditási célú hitelek, kölcsönök törlesztése pénzügyi vállalkozásnak</t>
  </si>
  <si>
    <t>K9112</t>
  </si>
  <si>
    <t xml:space="preserve">Hosszú lejáratú hitelek, kölcsönök törlesztése </t>
  </si>
  <si>
    <t>K9111</t>
  </si>
  <si>
    <t>Nem veszélyes (települési) hulladék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</si>
  <si>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</si>
  <si>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</si>
  <si>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</si>
  <si>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</si>
  <si>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</si>
  <si>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</si>
  <si>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</si>
  <si>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</si>
  <si>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</si>
  <si>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</si>
  <si>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</si>
  <si>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1.  melléklet</t>
  </si>
  <si>
    <t>ezer Ft-ban</t>
  </si>
  <si>
    <t>Megnevezés</t>
  </si>
  <si>
    <t>11.  melléklet</t>
  </si>
  <si>
    <t>Pilisvörösvár Tipegő Bölcsőde</t>
  </si>
  <si>
    <t>Bevételek (E Ft)</t>
  </si>
  <si>
    <t>Rovat megnevezése</t>
  </si>
  <si>
    <t>Rovat-
szám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</si>
  <si>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</si>
  <si>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</si>
  <si>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</si>
  <si>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</si>
  <si>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</si>
  <si>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</si>
  <si>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</si>
  <si>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</si>
  <si>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</si>
  <si>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 xml:space="preserve">Önkormányzatok működési támogatásai </t>
  </si>
  <si>
    <t>B11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</si>
  <si>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</si>
  <si>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</si>
  <si>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</si>
  <si>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</si>
  <si>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</si>
  <si>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</si>
  <si>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</si>
  <si>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</si>
  <si>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Gépjárműadók</t>
  </si>
  <si>
    <t>B354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</si>
  <si>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</si>
  <si>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</si>
  <si>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</si>
  <si>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</si>
  <si>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</si>
  <si>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</si>
  <si>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</si>
  <si>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</si>
  <si>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</si>
  <si>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</si>
  <si>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</si>
  <si>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</si>
  <si>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</si>
  <si>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Általános forgalmi adó visszatérítése</t>
  </si>
  <si>
    <t>B407</t>
  </si>
  <si>
    <t>Kamatbevételek</t>
  </si>
  <si>
    <t>B408</t>
  </si>
  <si>
    <t xml:space="preserve">Működési bevételek </t>
  </si>
  <si>
    <t>B4</t>
  </si>
  <si>
    <t>Ingatlanok értékesítése</t>
  </si>
  <si>
    <t>B52</t>
  </si>
  <si>
    <t>Egyéb tárgyi eszközök értékesítése</t>
  </si>
  <si>
    <t>B53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</si>
  <si>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</si>
  <si>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</si>
  <si>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</si>
  <si>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</si>
  <si>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</si>
  <si>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</si>
  <si>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</si>
  <si>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</si>
  <si>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</si>
  <si>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</si>
  <si>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</si>
  <si>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</si>
  <si>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</si>
  <si>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</si>
  <si>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</si>
  <si>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</si>
  <si>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>Likviditási célú hitelek, kölcsönök felvétele pénzügyi vállalkozástól</t>
  </si>
  <si>
    <t>B8112</t>
  </si>
  <si>
    <t xml:space="preserve">Hitel-, kölcsönfelvétel államháztartáson kívülről </t>
  </si>
  <si>
    <t>B811</t>
  </si>
  <si>
    <t>Előző év költségvetési maradványának igénybevétele MŰKÖDÉSRE</t>
  </si>
  <si>
    <t>B8131</t>
  </si>
  <si>
    <t>Előző év költségvetési maradványának igénybevétele FELHALMOZÁSRA</t>
  </si>
  <si>
    <t xml:space="preserve">Maradvány igénybevétele </t>
  </si>
  <si>
    <t>B813</t>
  </si>
  <si>
    <t>Központi, irányító szervi támogatás</t>
  </si>
  <si>
    <t>B816</t>
  </si>
  <si>
    <t>Betétek megszüntetése</t>
  </si>
  <si>
    <t>B817</t>
  </si>
  <si>
    <t xml:space="preserve">Belföldi finanszírozás bevételei </t>
  </si>
  <si>
    <t>B81</t>
  </si>
  <si>
    <t>Adóssághoz nem kapcsolódó származékos ügyletek bevételei</t>
  </si>
  <si>
    <t>B83</t>
  </si>
  <si>
    <t xml:space="preserve">Finanszírozási bevételek </t>
  </si>
  <si>
    <t>B8</t>
  </si>
  <si>
    <t>Összesen</t>
  </si>
  <si>
    <t>Általános tartalék</t>
  </si>
  <si>
    <t xml:space="preserve">Beruházások </t>
  </si>
  <si>
    <t>Pilisvörösvári Szakorvosi Rendelőintézet költségvetése kötelező és önként vállalt feladat szerinti bontásban</t>
  </si>
  <si>
    <t>Ligeti Cseperedő Óvoda költségvetése kötelező és önként vállalt feladat szerinti bontásban</t>
  </si>
  <si>
    <t>Kötelezettségek megnevezése</t>
  </si>
  <si>
    <t>Köt.vállalás éve</t>
  </si>
  <si>
    <t>Tárgyév előtti kifizetés</t>
  </si>
  <si>
    <t>Működési célú hiteltörlesztések összesen:</t>
  </si>
  <si>
    <t>Felhalmozási célú hiteltörlesztések</t>
  </si>
  <si>
    <t>Beruházások összesen:</t>
  </si>
  <si>
    <t>MINDÖSSZESEN:</t>
  </si>
  <si>
    <t>1.oldal</t>
  </si>
  <si>
    <t>BERUHÁZÁSOK</t>
  </si>
  <si>
    <t>Megnevezés:</t>
  </si>
  <si>
    <t>K61 Immateriális javak beszerzése, létesítése</t>
  </si>
  <si>
    <t>Informatika fejlesztési kiadásokra</t>
  </si>
  <si>
    <t>K62 Ingatlanok beszerzése, létesítése</t>
  </si>
  <si>
    <t>K63 Informatikai eszközök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</si>
  <si>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</si>
  <si>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</si>
  <si>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</si>
  <si>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 xml:space="preserve">K6 Beruházások </t>
  </si>
  <si>
    <t>FELÚJÍTÁSOK</t>
  </si>
  <si>
    <t>Műszaki osztály tetőfelújítás</t>
  </si>
  <si>
    <t>K71 Ingatlanok felújítása</t>
  </si>
  <si>
    <t>K72 Informatikai eszközök felújítása</t>
  </si>
  <si>
    <t xml:space="preserve">K73 Egyéb tárgyi eszközök felújítása </t>
  </si>
  <si>
    <t>K74 Felújítási célú előzetesen felszámított általános forgalmi adó</t>
  </si>
  <si>
    <t xml:space="preserve">K7 Felújítások </t>
  </si>
  <si>
    <t>Fejlesztési célú nevesített tartalékok összesen</t>
  </si>
  <si>
    <t>Működési célú tartalékok összesen</t>
  </si>
  <si>
    <t>Nyilvántartási szám</t>
  </si>
  <si>
    <t>Kezességvállalás</t>
  </si>
  <si>
    <t xml:space="preserve">R-ÖKIF/032900/2010/RAIF/KOKJ/001 </t>
  </si>
  <si>
    <t>2018. évi kifizetés</t>
  </si>
  <si>
    <t>Ft-ban</t>
  </si>
  <si>
    <t>Jogcím</t>
  </si>
  <si>
    <t>I.</t>
  </si>
  <si>
    <t>a)</t>
  </si>
  <si>
    <t>Önkormányzati hivatal működésének támogatása -elismert hivatali létszám alapján</t>
  </si>
  <si>
    <t>Önkormányzati hivatal működésének támogatása -beszámítás után</t>
  </si>
  <si>
    <t>b)</t>
  </si>
  <si>
    <t>Település-üzemeltetéshez kapcsolódó feladatellátás támogatása összesen</t>
  </si>
  <si>
    <t>ba) A zöldterület-gazdálkodással kapcsolatos feladatok ellátásának támogatása</t>
  </si>
  <si>
    <t>ba) - V.  A zöldterület-gazdálkodással kapcsolatos feladatok ellátásának támogatása - beszámítás után</t>
  </si>
  <si>
    <t>bb) Közvilágítás fenntartásának támogatása</t>
  </si>
  <si>
    <t>bb) - V.  Közvilágítás fenntartásának támogatása - beszámítás után</t>
  </si>
  <si>
    <t>bc) Köztemető fenntartással kapcsolatos feladatok támogatása</t>
  </si>
  <si>
    <t>bc) - V. Köztemető fenntartással kapcsolatos feladatok támogatása - beszámítás után</t>
  </si>
  <si>
    <t>bd) Közutak fenntartásának támogatása</t>
  </si>
  <si>
    <t>bd) - V. Közutak fenntartásának támogatása -beszámítás után</t>
  </si>
  <si>
    <t>c)</t>
  </si>
  <si>
    <t xml:space="preserve">Egyéb önkormányzati feladatok támogatása </t>
  </si>
  <si>
    <t>Egyéb önkormányzati feladatok támogatása  - beszámítás után</t>
  </si>
  <si>
    <t>d)</t>
  </si>
  <si>
    <t>Lakott külterülettel kapcsolatos feladatok támogatása</t>
  </si>
  <si>
    <t>Lakott külterülettel kapcsolatos feladatok támogatása - beszámítás után</t>
  </si>
  <si>
    <t>V. Info: összes beszámítás</t>
  </si>
  <si>
    <t>A HELYI ÖNKORMÁNYZATOK MŰKÖDÉSÉNEK  TÁMOGATÁSA BESZÁMÍTÁS ÉS KIEGÉSZÍTÉS UTÁN ÖSSZESEN</t>
  </si>
  <si>
    <t>II.</t>
  </si>
  <si>
    <r>
      <t>Óvodapedagógusok, és az óvodapedagógusok nevelő munkáját közvetlenül segítők bértámogatása</t>
    </r>
    <r>
      <rPr>
        <sz val="14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összesen</t>
    </r>
    <r>
      <rPr>
        <sz val="14"/>
        <rFont val="Times New Roman"/>
        <family val="1"/>
        <charset val="238"/>
      </rPr>
      <t xml:space="preserve">
</t>
    </r>
  </si>
  <si>
    <t>Óvodapedagógusok támogatása összesen</t>
  </si>
  <si>
    <t>pótlólagos összeg</t>
  </si>
  <si>
    <t>Pedagógus II. kategóriás óvónők kiegészítő támogatása</t>
  </si>
  <si>
    <r>
      <t>Óvodaműködtetési támogatás</t>
    </r>
    <r>
      <rPr>
        <sz val="14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összesen</t>
    </r>
  </si>
  <si>
    <t>gyermekek nevelése a napi 8 órát eléri vagy meghaladja</t>
  </si>
  <si>
    <t>A TELEPÜLÉSI ÖNKORMÁNYZATOK EGYES KÖZNEVELÉSI  FELADATAINAK TÁMOGATÁSA ÖSSZESEN</t>
  </si>
  <si>
    <t>III.</t>
  </si>
  <si>
    <t>A települési önkormányzatok szociális feladatainak egyéb támogatása</t>
  </si>
  <si>
    <t>Egyes szociális és gyermekjóléti feladatok támogatása összesen</t>
  </si>
  <si>
    <t>Irányító szervi támogatás</t>
  </si>
  <si>
    <t>Helyiség bérlet és egyéb bevételek</t>
  </si>
  <si>
    <t>Városi Könyvtár egyéb bevétele</t>
  </si>
  <si>
    <t>Működési célú támogatások bevételei államháztartáson belülről</t>
  </si>
  <si>
    <t>Felhalmozási célú támogatások bevételei államháztartáson belülről</t>
  </si>
  <si>
    <t>K1-K5</t>
  </si>
  <si>
    <t>K6-K8</t>
  </si>
  <si>
    <t>B1-B8</t>
  </si>
  <si>
    <t xml:space="preserve">KIADÁSOK ÖSSZESEN </t>
  </si>
  <si>
    <t>Tartalomjegyzék</t>
  </si>
  <si>
    <t>Melléklet</t>
  </si>
  <si>
    <t>Cím</t>
  </si>
  <si>
    <t xml:space="preserve">1. melléklet </t>
  </si>
  <si>
    <t xml:space="preserve">3. melléklet </t>
  </si>
  <si>
    <t xml:space="preserve">4.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</si>
  <si>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</si>
  <si>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</si>
  <si>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</si>
  <si>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</si>
  <si>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</si>
  <si>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 xml:space="preserve">10. melléklet </t>
  </si>
  <si>
    <t xml:space="preserve">11. melléklet </t>
  </si>
  <si>
    <t xml:space="preserve">12. melléklet </t>
  </si>
  <si>
    <t xml:space="preserve">13. melléklet </t>
  </si>
  <si>
    <t xml:space="preserve">Pilisvörösvár Város Önkormányzata intézményi normatíva kimutatása  </t>
  </si>
  <si>
    <t xml:space="preserve">14. melléklet </t>
  </si>
  <si>
    <t xml:space="preserve">15. melléklet </t>
  </si>
  <si>
    <t xml:space="preserve">16. melléklet </t>
  </si>
  <si>
    <t xml:space="preserve">17. melléklet </t>
  </si>
  <si>
    <t>Pilisvörösvár Város Önkormányzata finanszírozási bevételei és kiadásai</t>
  </si>
  <si>
    <t xml:space="preserve">18. melléklet </t>
  </si>
  <si>
    <t xml:space="preserve">19. melléklet </t>
  </si>
  <si>
    <t xml:space="preserve">20. melléklet </t>
  </si>
  <si>
    <t xml:space="preserve">21. melléklet </t>
  </si>
  <si>
    <t xml:space="preserve">22. melléklet </t>
  </si>
  <si>
    <t xml:space="preserve">23. melléklet </t>
  </si>
  <si>
    <t xml:space="preserve">24. melléklet </t>
  </si>
  <si>
    <t>Pilisvörösvár Város Önkormányzata engedélyezett létszáma költségvetési szervenként</t>
  </si>
  <si>
    <t xml:space="preserve">25. melléklet </t>
  </si>
  <si>
    <t xml:space="preserve">26. melléklet </t>
  </si>
  <si>
    <t xml:space="preserve">27. melléklet </t>
  </si>
  <si>
    <t xml:space="preserve">28. melléklet </t>
  </si>
  <si>
    <t xml:space="preserve">29. melléklet </t>
  </si>
  <si>
    <t xml:space="preserve">30. melléklet </t>
  </si>
  <si>
    <t>Kamat összesen</t>
  </si>
  <si>
    <t>Önállóan működő intézmények:</t>
  </si>
  <si>
    <t>óvoda-pedagógus, szakalkalmazott</t>
  </si>
  <si>
    <t xml:space="preserve">egyéb köz-alkalmazott </t>
  </si>
  <si>
    <t>összes státusz</t>
  </si>
  <si>
    <t>Pilisvörösvári Német Nemzetiségi Óvoda</t>
  </si>
  <si>
    <t>Ligeti Cseperedő Német Nemzetiségi Óvoda</t>
  </si>
  <si>
    <t>Művészetek Háza</t>
  </si>
  <si>
    <t>összesen:</t>
  </si>
  <si>
    <t>GESZ</t>
  </si>
  <si>
    <t>közalkalmazott</t>
  </si>
  <si>
    <t>egyéb</t>
  </si>
  <si>
    <t>Szakorvosi Rendelőintézet</t>
  </si>
  <si>
    <t>Szakorvosi Rendelőintézet- teljes munkaidős</t>
  </si>
  <si>
    <t>ebből: védőnői szolgálat:</t>
  </si>
  <si>
    <t>Intézmények mindösszesen:</t>
  </si>
  <si>
    <t>Egyéb dolg.</t>
  </si>
  <si>
    <t>Összes</t>
  </si>
  <si>
    <t>Gépjárműadó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</si>
  <si>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</si>
  <si>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</si>
  <si>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</si>
  <si>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</si>
  <si>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</si>
  <si>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</si>
  <si>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</si>
  <si>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</si>
  <si>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</si>
  <si>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 xml:space="preserve">Október </t>
  </si>
  <si>
    <t>November</t>
  </si>
  <si>
    <t xml:space="preserve">December </t>
  </si>
  <si>
    <t>Átvett pénzeszközök</t>
  </si>
  <si>
    <t>Támogatás</t>
  </si>
  <si>
    <t>Hitel,</t>
  </si>
  <si>
    <t>Felhalmozási bevétel</t>
  </si>
  <si>
    <t>Bevételek összesen:</t>
  </si>
  <si>
    <t>Kiadások:</t>
  </si>
  <si>
    <t>Müködési kiadások</t>
  </si>
  <si>
    <t>Adósságszolgálat</t>
  </si>
  <si>
    <t>Felújitási kiadások</t>
  </si>
  <si>
    <t>Fejlesztési kiadások</t>
  </si>
  <si>
    <t>Tartalék</t>
  </si>
  <si>
    <t>Kiadások összesen :</t>
  </si>
  <si>
    <t>Egyenleg</t>
  </si>
  <si>
    <t>Hónap</t>
  </si>
  <si>
    <t>Polgármesteri Hivatal</t>
  </si>
  <si>
    <t>Ligeti Cseperedő Óvoda</t>
  </si>
  <si>
    <t>ebből egyéb dologi kiadásra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</si>
  <si>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</si>
  <si>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</si>
  <si>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</si>
  <si>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</si>
  <si>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</si>
  <si>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</si>
  <si>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</si>
  <si>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</si>
  <si>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</si>
  <si>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</si>
  <si>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</si>
  <si>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</si>
  <si>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Lakosság részére lakásépítéshez, lakásfelújításhoz nyújtott kölcsönök elengedésének összege</t>
  </si>
  <si>
    <t>Bevétel kedvezmény nélkül</t>
  </si>
  <si>
    <t>Adott kedvezmény</t>
  </si>
  <si>
    <t>Megjegyzés/hivatkozás</t>
  </si>
  <si>
    <t>Kölcsönök elengedése összesen</t>
  </si>
  <si>
    <t>2016. évi Eredeti bevételi előirányzat Összesen</t>
  </si>
  <si>
    <t>2016. évi Konszolidált bevétel eredeti előirányzat</t>
  </si>
  <si>
    <t>Önkormányzat 2016. évi eredeti előirányzat</t>
  </si>
  <si>
    <t>Polgármesteri Hivatal 2016. évi eredeti előirányzat</t>
  </si>
  <si>
    <t>Szakorvosi Rendelőintézet 2016. évi eredeti előirányzat</t>
  </si>
  <si>
    <t>GESZ 2016. évi eredeti előirányzat</t>
  </si>
  <si>
    <t>2019.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</si>
  <si>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</si>
  <si>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</si>
  <si>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</si>
  <si>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Adott kedvezmény havi összege</t>
  </si>
  <si>
    <t>gyógypedagógia, hitoktatás</t>
  </si>
  <si>
    <t>hitoktatás</t>
  </si>
  <si>
    <t>Egyesületek és  általános iskolák részére</t>
  </si>
  <si>
    <t>Bérleti díj kedveznények összesen</t>
  </si>
  <si>
    <t>Egyéb nyújtott kedvezmény vagy kölcsön elengedésének összege.</t>
  </si>
  <si>
    <t>Egyéb kedvezmények összesen</t>
  </si>
  <si>
    <t xml:space="preserve">Hosszú lejáratú hitelek felvétele </t>
  </si>
  <si>
    <t xml:space="preserve">Belföldi értékpapírok bevételei </t>
  </si>
  <si>
    <t>B812</t>
  </si>
  <si>
    <t xml:space="preserve">Külföldi finanszírozás bevételei </t>
  </si>
  <si>
    <t>B82</t>
  </si>
  <si>
    <t xml:space="preserve">Egyéb felhalmozási célú támogatások államháztartáson belülre </t>
  </si>
  <si>
    <t>Elvonások és befizetések bevételei</t>
  </si>
  <si>
    <t>B12</t>
  </si>
  <si>
    <t xml:space="preserve">Vagyoni tipusú adók </t>
  </si>
  <si>
    <t xml:space="preserve">Termékek és szolgáltatások adói </t>
  </si>
  <si>
    <t xml:space="preserve">Működési bevételek és működési kiadások egyenlege </t>
  </si>
  <si>
    <t xml:space="preserve">Felhalmozási bevételek és a felhalmozási kiadások egyenlege </t>
  </si>
  <si>
    <t>ÖSSZEVONT ELŐIRÁNYZATOK (ÖNKORMÁNYZAT ÉS KÖLTSÉGVETÉSI SZERVEI ÖSSZESEN)</t>
  </si>
  <si>
    <t>2018.</t>
  </si>
  <si>
    <t xml:space="preserve">   - Vörösvár Napok kiadásai</t>
  </si>
  <si>
    <t xml:space="preserve">   - Egyéb Városi rendezvények és nem bevételes rendezvények kiadásai</t>
  </si>
  <si>
    <t xml:space="preserve">   - Egyéb bevételes rendezvények kiadásai</t>
  </si>
  <si>
    <t>K6-K7</t>
  </si>
  <si>
    <t>KIADÁSOK MINDÖSSZESEN (K1-9)</t>
  </si>
  <si>
    <t>BEVÉTELEK MINDÖSSZESEN (B1-8)</t>
  </si>
  <si>
    <t>Egyéb működési célú kiadások összesen</t>
  </si>
  <si>
    <t>Működési célú pénzeszközátvétel egyéb civil szervezetektől (Zsidótemető)</t>
  </si>
  <si>
    <t>Köt.vállalás összege</t>
  </si>
  <si>
    <t xml:space="preserve">31. melléklet </t>
  </si>
  <si>
    <t>Szociális étkeztetés</t>
  </si>
  <si>
    <t>Óvodák mindösszesen</t>
  </si>
  <si>
    <t>Felhalmozási célú pénzeszközátvétel háztartásoktól (első lakáshoz jutók kölcsönének visszatérülése)</t>
  </si>
  <si>
    <t>Felhalmozási célú pénzeszközátvétel Csatornatársulattól</t>
  </si>
  <si>
    <t>Bölcsőde berendezése</t>
  </si>
  <si>
    <t>Az Önkormányzat adott évi saját bevételeinek 50 %-a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</si>
  <si>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</si>
  <si>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Városi rendezvények és partnerkapcsolatok költségei</t>
  </si>
  <si>
    <t xml:space="preserve">2/1. melléklet </t>
  </si>
  <si>
    <t xml:space="preserve">2/2. melléklet </t>
  </si>
  <si>
    <t>14. melléklet</t>
  </si>
  <si>
    <t>31. melléklet</t>
  </si>
  <si>
    <t>Maradvány igénybevétel</t>
  </si>
  <si>
    <t>Pilisvörösvár Város Önkormányzata költségvetési mérlege</t>
  </si>
  <si>
    <t>Helyi adónál, gépjárműadónál biztosított kedvezmény, mentesség összege adónemenként</t>
  </si>
  <si>
    <t>Mentes az adó megfizetése alól, aki a tárgyév január 01-én Pilisvörösváron rendszeres gyermekvédelmi kedvezményre jogosult.</t>
  </si>
  <si>
    <t>Mentes egy telekre az adó megfizetése alól az az adóalany, akinek a telkét valamilyen természetes választóvonal (patak, árok, stb.), vagy vasútvonal, vagy út céljára leválasztott, azonban közterülethez nem csatlakozó, így közútként nem használható terület kettéosztja, s emiatt az ingatlanok tulajdonosa az ingatlanokat nem tudja összevonni.</t>
  </si>
  <si>
    <t>Magánszemélyek kommunális adója összesen:</t>
  </si>
  <si>
    <t>Adókedvezmények összesen:</t>
  </si>
  <si>
    <t>A költségvetési év azon fejlesztési céljai, amelyek megvalósításához a Gst. 3. § (1) bekezdése szerinti adósságot keletkeztető ügylet megkötése válik vagy válhat szükségessé</t>
  </si>
  <si>
    <t>Pilisvörösvár Város Önkormányzata jogalkotó és általános igazgatási tevékenységének dologi kiadásai</t>
  </si>
  <si>
    <t>Pilisvörösvár Város Önkormányzata ellátottak pénzbeli juttatásai, szociális és gyermekjóléti pénzbeli és természetbeni juttatások előirányzata</t>
  </si>
  <si>
    <t>096015</t>
  </si>
  <si>
    <t xml:space="preserve">a) </t>
  </si>
  <si>
    <t xml:space="preserve">b) </t>
  </si>
  <si>
    <t xml:space="preserve">c) </t>
  </si>
  <si>
    <t xml:space="preserve">d) </t>
  </si>
  <si>
    <t>I.  A HELYI ÖNKORMÁNYZATOK MŰKÖDÉSÉNEK ÁLTALÁNOS TÁMOGATÁSA</t>
  </si>
  <si>
    <t>II.  A TELEPÜLÉSI ÖNKORMÁNYZATOK EGYES KÖZNEVELÉSI FELADATAINAK TÁMOGATÁSA</t>
  </si>
  <si>
    <t>III.  A TELEPÜLÉSI ÖNKORMÁNYZATOK SZOCIÁLIS, GYERMEKJÓLÉTI ÉS GYERMEKÉTKEZTETÉSI FELADATAINAK TÁMOGATÁSA</t>
  </si>
  <si>
    <t>j)</t>
  </si>
  <si>
    <t>A rászoruló gyermekek intézményen kívüli szünidei étkeztetésének támogatása</t>
  </si>
  <si>
    <t xml:space="preserve"> IV.  A TELEPÜLÉSI ÖNKORMÁNYZATOK KULTURÁLIS FELADATAINAK TÁMOGATÁSA </t>
  </si>
  <si>
    <t xml:space="preserve">Települési önkormányzatok támogatása a nyilvános könyvtári ellátási és a közművelődési feladatokhoz </t>
  </si>
  <si>
    <t>Család- és gyermekjóléti központ</t>
  </si>
  <si>
    <t>Család- és gyermekjóléti szolgálat</t>
  </si>
  <si>
    <t>közmunkások bruttó bére:</t>
  </si>
  <si>
    <t>közfoglalkoztatottak száma:</t>
  </si>
  <si>
    <t>támogatási százalék</t>
  </si>
  <si>
    <t>hónapok száma:</t>
  </si>
  <si>
    <t>79155/105000=</t>
  </si>
  <si>
    <t>111000*0,715761905=</t>
  </si>
  <si>
    <t>Államháztartáson belüli megelőlegezések visszafizetése</t>
  </si>
  <si>
    <t>K914</t>
  </si>
  <si>
    <t>ÁHB megelőlegezések</t>
  </si>
  <si>
    <t>B814</t>
  </si>
  <si>
    <t>Közutak, hidak, alagutak üzem. (Karbantartás: Útkátyúzás Vízelvezetés, murvázás, kátyuzás, síkosságmentesítés +só )</t>
  </si>
  <si>
    <t>052020</t>
  </si>
  <si>
    <t>Szennyvíz gyűjtése, tisztítása</t>
  </si>
  <si>
    <t>Időskorúak átmeneti ellátása (Átmeneti Gondozóház)</t>
  </si>
  <si>
    <t>0532112</t>
  </si>
  <si>
    <t>Foglalkoztatással, munkanélküliséggel kapcsolatos ellátások(Járáshoz átkerült) MEGSZŰNT</t>
  </si>
  <si>
    <t>Lakhatással kapcsolatos ellátások (átalakult települési támogatássá) MEGSZŰNT</t>
  </si>
  <si>
    <t>Települési támogatások - Gyógyszerkiadások viseléséhez</t>
  </si>
  <si>
    <t>2019. évi kifizetés</t>
  </si>
  <si>
    <t>Pilisvörösvári Tipegő Bölcsöde</t>
  </si>
  <si>
    <t>Időskorúak átmeneti ellátása</t>
  </si>
  <si>
    <t>Fogyatékkal élők nappali ellátása (ÉNO)</t>
  </si>
  <si>
    <t>Idősek nappali ellátása (Klub)</t>
  </si>
  <si>
    <t>Vörösvári Napok bevételei</t>
  </si>
  <si>
    <t>Egyéb rendezvények</t>
  </si>
  <si>
    <t>Ellátási díjak (bölcsődei gondozási díj, időszakos gyermekfelügyelet)</t>
  </si>
  <si>
    <t>Beruházások (kis értékű tárgyi eszköz beszerzés)</t>
  </si>
  <si>
    <t>Egyéb szakmai anyag (pl.:számítástechnikai készletek, jogtár)</t>
  </si>
  <si>
    <t>Egyéb üzemeltetési, fenntartási anyagok, készlet (tisztítószer, karbantartási anyag, osztály igények)</t>
  </si>
  <si>
    <t>053351</t>
  </si>
  <si>
    <t>Egyéb üzemeltetési, fenntartási szolgáltatások (tisztíttatások,postai fiókbérlet, fénymásolás)</t>
  </si>
  <si>
    <t>K33714</t>
  </si>
  <si>
    <t>K33719</t>
  </si>
  <si>
    <t>K33711</t>
  </si>
  <si>
    <t>Reklám kiadások, Televíziós műsorszolgáltatás,(Pilis TV), hírdetések (elektronikus és nyomtatott)</t>
  </si>
  <si>
    <t>RKO</t>
  </si>
  <si>
    <t>Euribor</t>
  </si>
  <si>
    <t>Pilisvörösvári Német Nemzetiségi Óvoda béremelés tartalék</t>
  </si>
  <si>
    <t>Pilisvörösvári Tipegő Bölcsőde béremelés tartalék</t>
  </si>
  <si>
    <t>Egy különféle inf szolg (informatikus foglalkoztatása, honlapszerkesztés, karbantartás)</t>
  </si>
  <si>
    <t>Munkaruha</t>
  </si>
  <si>
    <t xml:space="preserve">Élelmiszer-beszerzés  </t>
  </si>
  <si>
    <t>kamat 3 havi Euribor+RKO1+1,25 % (2,75 %)</t>
  </si>
  <si>
    <t>Kisértékű tárgyi eszközök</t>
  </si>
  <si>
    <t>Hosszú lejáratú hitelek felvétele</t>
  </si>
  <si>
    <t>II. 1. (3) 1 pedagógus szakképzettséggel  rendelkező, óvodapedagógusok nevelő munkáját közvetlenül segítők száma a Köznev. tv. 2. melléklete szerint</t>
  </si>
  <si>
    <t>II. 1. (3) 2 pedagógus szakképzettséggel  rendelkező, óvodapedagógusok nevelő munkáját közvetlenül segítők száma a Köznev. tv. 2. melléklete szerint</t>
  </si>
  <si>
    <t>II. 1. (5) 2 pedagógus szakképzettséggel  rendelkező, óvodapedagógusok nevelő munkáját közvetlenül segítők pótlólagos támogatása</t>
  </si>
  <si>
    <t>II.1. (2) 1 pedagógus szakképzettséggel nem rendelkező, óvodapedagógusok nevelő munkáját közvetlenül segítők száma a Köznev. tv. 2. melléklete szerint</t>
  </si>
  <si>
    <t>Pilisvörösvári Tipegő Bölcsőde</t>
  </si>
  <si>
    <t>Templom Téri Német Nemzetiségi  Általános Iskola</t>
  </si>
  <si>
    <t>III.3.a család- és gyermekjóléti szolgálat</t>
  </si>
  <si>
    <t>III.3.b család- és gyermekjóléti központ</t>
  </si>
  <si>
    <t>III.3.f (2) időskorúak nappali intézményi ellátása - társulás által történő feladatellátás</t>
  </si>
  <si>
    <t>III.4.a A finanszírozás szempontjából elismert szakmai dolgozók bértámogatása  (idősek átmeneti gondozóháza)</t>
  </si>
  <si>
    <t>III.4.b intézmény-üzemeltetési támogatás (idősek átmeneti gondozóháza)</t>
  </si>
  <si>
    <t>infláció</t>
  </si>
  <si>
    <t>Finanszírozás</t>
  </si>
  <si>
    <t>Dologi</t>
  </si>
  <si>
    <t>vállalkozási tevékenység</t>
  </si>
  <si>
    <t>Egyéb  díjak: ( pl.szakértőidíjak,közbeszerzési tanácsadó, belső ellenőr, könyvvizsgáló, munkavédelem, közbesz.ref)</t>
  </si>
  <si>
    <t>Számítástechnikai szoftverekhez, adatbázisokhoz k. kiadások (jogszabálykövetés, tulajdoni lap, helyszínrajz, jogtár)</t>
  </si>
  <si>
    <t>Rovatsz.</t>
  </si>
  <si>
    <t>Pályázat bevételek</t>
  </si>
  <si>
    <t>Szociális Intézményfenntartó Társulás által ellátott szociális feladatokhoz adott hozzájárulás</t>
  </si>
  <si>
    <t>Szociális Intézményfenntartó Társulás által ellátott szociális feladatokra az állami támogatás átadása</t>
  </si>
  <si>
    <t>Szociális Intézményfenntartó Társulás részére hozzájárulás a Család- és Gyermekjóléti Központ által ellátott feladatokra</t>
  </si>
  <si>
    <t>Ssz.</t>
  </si>
  <si>
    <t>Szociális Intézményfenntartó Társulás részére a Család- és Gyermekjóléti Központ által ellátott feladatokra az állami támogatás átadása</t>
  </si>
  <si>
    <t>K513</t>
  </si>
  <si>
    <t>Csatornahálózat és szennyvíztisztító telep felújítási és karbantartási tartalék</t>
  </si>
  <si>
    <t>Ligeti Cseperedő Német Nemzetiségi Óvoda béremelés tartalék</t>
  </si>
  <si>
    <t>Díjak egyéb befizetések kiadásai (jogdíj, számlavezetési díj, tagdíj, engedélyeztetés, cégautó adó)</t>
  </si>
  <si>
    <t>Pilisvörösvár Tipegő Bölcsőde költségvetése kötelező és önként vállalt feladat szerinti bontásban</t>
  </si>
  <si>
    <t>Pilisvörösvár Város Önkormányzata átvett pénzeszközei</t>
  </si>
  <si>
    <t>Pilisvörösvár Város Önkormányzata egyéb működési és felhalmozási célú kiadásai (támogatásértékű kiadások és átadott pénzeszközök)</t>
  </si>
  <si>
    <t>Pilisvörösvár Város Önkormányzata tartalékai</t>
  </si>
  <si>
    <t>Pilisvörösvár Város Önkormányzata több éves fejlesztési célú elkötelezettségei</t>
  </si>
  <si>
    <t>Pilisvörösvár Város Önkormányzata várható bevételi és kiadási előirányzatai teljesüléséről készített előirányzat-felhasználási ütemterv</t>
  </si>
  <si>
    <t>Pilisvörösvár Város Önkormányzata közvetett támogatásai</t>
  </si>
  <si>
    <t>BEVÉTELEK</t>
  </si>
  <si>
    <t xml:space="preserve">KIADÁSOK </t>
  </si>
  <si>
    <t>Kultúr Büfé bevétele</t>
  </si>
  <si>
    <t>Vörösvári Újság (eladás)</t>
  </si>
  <si>
    <t>Vörösvári Újság (hírdetési bevételei)</t>
  </si>
  <si>
    <t>KIADÁSOK</t>
  </si>
  <si>
    <t xml:space="preserve">BEVÉTELEK </t>
  </si>
  <si>
    <t>13. melléklet</t>
  </si>
  <si>
    <t>Ft</t>
  </si>
  <si>
    <t>Belföldi, kiküldetés, útiköltség elszám.</t>
  </si>
  <si>
    <t>Külföldi, kiküldetés, útiköltség elszám.</t>
  </si>
  <si>
    <t>Szakkönyvbeszerzés</t>
  </si>
  <si>
    <t>Áfabefizetés</t>
  </si>
  <si>
    <t>Pályázati önrész tartalék</t>
  </si>
  <si>
    <t>30. melléklet</t>
  </si>
  <si>
    <t>Kötelezettséggel terhelt maradvány tartaléka</t>
  </si>
  <si>
    <t>32. melléklet</t>
  </si>
  <si>
    <t xml:space="preserve">32. melléklet </t>
  </si>
  <si>
    <t>Pilisvörösvár Város Önkormányzata felhalmozási (beruházási) kiadásai feladatonként</t>
  </si>
  <si>
    <t>Pilisvörösvár Város Önkormányzata felhalmozási (felújítási) kiadásai feladatonként</t>
  </si>
  <si>
    <t>MFB-s fejlesztési célhitel (Raiffeisen Bank Zrt.)</t>
  </si>
  <si>
    <r>
      <t xml:space="preserve">II.1. (2) 1 pedagógus szakképzettséggel </t>
    </r>
    <r>
      <rPr>
        <u/>
        <sz val="14"/>
        <rFont val="Times New Roman"/>
        <family val="1"/>
        <charset val="238"/>
      </rPr>
      <t>nem</t>
    </r>
    <r>
      <rPr>
        <sz val="14"/>
        <rFont val="Times New Roman"/>
        <family val="1"/>
        <charset val="238"/>
      </rPr>
      <t xml:space="preserve"> rendelkező, óvodapedagógusok nevelő munkáját közvetlenül segítők száma a Köznev. tv. 2. melléklete szerint</t>
    </r>
  </si>
  <si>
    <r>
      <t xml:space="preserve">II.1. (2) 2 pedagógus szakképzettséggel </t>
    </r>
    <r>
      <rPr>
        <u/>
        <sz val="14"/>
        <rFont val="Times New Roman"/>
        <family val="1"/>
        <charset val="238"/>
      </rPr>
      <t>nem</t>
    </r>
    <r>
      <rPr>
        <sz val="14"/>
        <rFont val="Times New Roman"/>
        <family val="1"/>
        <charset val="238"/>
      </rPr>
      <t xml:space="preserve"> rendelkező, óvodapedagógusok nevelő munkáját közvetlenül segítők száma a Köznev. tv. 2. melléklete szerint</t>
    </r>
  </si>
  <si>
    <t>Pilisvörösvári Német Nemzetiségi Óvoda költségvetése kötelező és önként vállalt feladat szerinti bontásban</t>
  </si>
  <si>
    <t>Művészetek Háza költségvetése kötelező, önként vállalt és vállakozási feladat szerinti bontásban</t>
  </si>
  <si>
    <t>12. melléklet</t>
  </si>
  <si>
    <t>15. melléklet</t>
  </si>
  <si>
    <t>B75</t>
  </si>
  <si>
    <t xml:space="preserve">Egy különféle kommunikációs szolg </t>
  </si>
  <si>
    <t>096025, 013360</t>
  </si>
  <si>
    <t>3</t>
  </si>
  <si>
    <t>6</t>
  </si>
  <si>
    <t>20</t>
  </si>
  <si>
    <t>21</t>
  </si>
  <si>
    <t>Deviza átváltási jutalék</t>
  </si>
  <si>
    <t>K354</t>
  </si>
  <si>
    <t>0535411</t>
  </si>
  <si>
    <t>ÁHB megelőlegezések visszafizetése</t>
  </si>
  <si>
    <t>045120</t>
  </si>
  <si>
    <t>102031, 102030</t>
  </si>
  <si>
    <t>102025, 102030</t>
  </si>
  <si>
    <t>Előző évhez kapcs. Műk. Bevétel visszautalása</t>
  </si>
  <si>
    <t>40</t>
  </si>
  <si>
    <t>41</t>
  </si>
  <si>
    <t>42</t>
  </si>
  <si>
    <t>Irányító szerv javára teljesített egyéb befiz. (Pénzmaradvány visszautalás)</t>
  </si>
  <si>
    <t>Késedelmi kamat, behajtási költségátalány</t>
  </si>
  <si>
    <t>0535419</t>
  </si>
  <si>
    <t>43</t>
  </si>
  <si>
    <t>Egyéb különféle pénzügyi műveletek kiadása</t>
  </si>
  <si>
    <t>062010</t>
  </si>
  <si>
    <t>K513 Tartalékok összesen</t>
  </si>
  <si>
    <t>Zöldterület kezelés (MAZSIHISZ, parkgondozás)</t>
  </si>
  <si>
    <t>091140</t>
  </si>
  <si>
    <t>Óvodai nevelés, ellátás működtetési feladatai</t>
  </si>
  <si>
    <t>053020</t>
  </si>
  <si>
    <t>Szennyeződésmentesítési tevékenységek</t>
  </si>
  <si>
    <t>091220,092111</t>
  </si>
  <si>
    <t>Köznevelési intézmény 1-4. évfolyamán tanulók nevelésével, oktatásával összefüggő működtetési feladatok, Köznevelési intézményben tanulók nappali rendszerű nevelésének, oktatásának szakmai feladatai 5-8. évfolyamon</t>
  </si>
  <si>
    <t>K89</t>
  </si>
  <si>
    <t>Egyéb felhalmozási célú támogatások államháztartáson kivülre</t>
  </si>
  <si>
    <t>Egyéb felhalmozási célú támogatások</t>
  </si>
  <si>
    <t>B410-B411</t>
  </si>
  <si>
    <t>Átvételre nem került,  rendszeres gyermekvédelmi Erzs. Utalvány visszaküldése</t>
  </si>
  <si>
    <t>44</t>
  </si>
  <si>
    <t>2017. évi Eredeti bevételi előirányzat Összesen</t>
  </si>
  <si>
    <t>2017. évi Konszolidált bevétel eredeti előirányzat</t>
  </si>
  <si>
    <t>2017. évi Eredeti kiadási előirányzat Összesen</t>
  </si>
  <si>
    <t>2017. évi Konszolidált kiadási eredeti előirányzat</t>
  </si>
  <si>
    <t>Önkormányzat 2017. évi eredeti előirányzat</t>
  </si>
  <si>
    <t>Polgármesteri Hivatal 2017. évi eredeti előirányzat</t>
  </si>
  <si>
    <t>Szakorvosi Rendelőintézet 2017. évi eredeti előirányzat</t>
  </si>
  <si>
    <t>GESZ és intézményei   2017. évi eredeti előirányzat</t>
  </si>
  <si>
    <t>2017. évi             Eredeti előirányzat Összesen</t>
  </si>
  <si>
    <t>2017. évi            Konszolidált eredeti előirányzat</t>
  </si>
  <si>
    <t>Ligeti Cseperedő Óvoda              2017. év eredeti előirányzat</t>
  </si>
  <si>
    <t>Pilisvörösvári          Német Nemzetiségi  Óvoda             2017. év eredeti előirányzat</t>
  </si>
  <si>
    <t>Művészetek Háza                        2017. év eredeti előirányzat</t>
  </si>
  <si>
    <t>GESZ                     2017. év eredeti előirányzat</t>
  </si>
  <si>
    <t>Pilisvörösvár Tipegő Bölcsőde 2017. év eredeti előirányzat</t>
  </si>
  <si>
    <t xml:space="preserve"> Gesz és intézményei      2017. évi előirányzat összesen eredeti előirányzat</t>
  </si>
  <si>
    <t>2020.</t>
  </si>
  <si>
    <t>16. melléklet</t>
  </si>
  <si>
    <t>25. melléklet</t>
  </si>
  <si>
    <t>Talajterhelési díj</t>
  </si>
  <si>
    <t>B355</t>
  </si>
  <si>
    <t>2020. évi kifizetés</t>
  </si>
  <si>
    <t>A kezességvállalás lejárt 2016-ban.</t>
  </si>
  <si>
    <t>Egyéb az Önkormányzat rendeletében megállapoított önkormányzati pénzbeli segély</t>
  </si>
  <si>
    <t>Templom téri Általános Iskola</t>
  </si>
  <si>
    <t>Tipegő Bölcsőde</t>
  </si>
  <si>
    <t>Ligeti Cseperedő  Óvoda</t>
  </si>
  <si>
    <t>Munkahelyi étkeztetés és más szerv részére végzett szolgáltatás</t>
  </si>
  <si>
    <t>Veszélyes  hulladék begyüjtése és kezelése</t>
  </si>
  <si>
    <t>051050,051060</t>
  </si>
  <si>
    <t>Szállítási szolgáltatási díjak</t>
  </si>
  <si>
    <t>K33713</t>
  </si>
  <si>
    <t>0533713</t>
  </si>
  <si>
    <t>Egyéb sajátos bevétel (pályázati dokumentumok, csatorna törlesztés)</t>
  </si>
  <si>
    <t>Épületek és eszközök karbantartása, javítása</t>
  </si>
  <si>
    <t>K313</t>
  </si>
  <si>
    <t>Áru beszerzés (Vörövári napok jelvényei, zászlói)</t>
  </si>
  <si>
    <t>083030</t>
  </si>
  <si>
    <t>Egyéb kiadói tevékenység</t>
  </si>
  <si>
    <t>Lapkiadás</t>
  </si>
  <si>
    <t xml:space="preserve">Vörösvári Újság hírdetés </t>
  </si>
  <si>
    <t>ebből: iskola egészségügy:</t>
  </si>
  <si>
    <t>részfoglalkoztatású teljes státuszú megfeleltetéssel</t>
  </si>
  <si>
    <t>Közalkalmazottak összesen:</t>
  </si>
  <si>
    <t>Műszaki, technikai dolgozó</t>
  </si>
  <si>
    <t>Szerződéssel foglalkoztatott orvos teljes státuszú megfeleltetéssel</t>
  </si>
  <si>
    <t>Mindösszesen:</t>
  </si>
  <si>
    <t>Orvos, szakdolgozó</t>
  </si>
  <si>
    <t>Köztisztviselő (státusz)</t>
  </si>
  <si>
    <t>Közcélú foglalkoztatott</t>
  </si>
  <si>
    <t>Városházán irodák parketta felújítása, fűtőtest csere, melléképület felújítása</t>
  </si>
  <si>
    <t>Támogatás összege             2017</t>
  </si>
  <si>
    <t>Törzsbetétet (üzletrész)-átruházási szerződés  a Zöld Bicske Nonprofit Kft.-vel</t>
  </si>
  <si>
    <t>Főzőkonyha és melegítőkonyhák berendezéseinek cseréje</t>
  </si>
  <si>
    <t>Mentes a 20 négyzetméternél kisebb telekre az adó megfizetése alól az az adóalany, akinek két építéshatósági szempontból összevonható telke van, de a telekösszevonásához más olyan tulajdonostársak hozzájárulása is szükséges, akiknek az ingatlanon kizárólagosan használt épületrészük van.</t>
  </si>
  <si>
    <t>Iparűzési adó</t>
  </si>
  <si>
    <t>B402, B406, B407</t>
  </si>
  <si>
    <t>Tartózkodás utáni idegenforgalmi adó</t>
  </si>
  <si>
    <t>Fejlesztési tartalék (beruházásra, felújításra)</t>
  </si>
  <si>
    <t>Ezt elrejteni kell, nem törölni, mert hivatkozás van benne.</t>
  </si>
  <si>
    <t>Vörösvári Újság tárgyi eszköz</t>
  </si>
  <si>
    <t>Napos Oldal Szociális Központ Idősek átmeneti gondozóháza épületének felújítása (ebből pályázati támogatás 13.582 ezer Ft)</t>
  </si>
  <si>
    <t>Gépjármű vásárlása a Polgármesteri hivatal részére</t>
  </si>
  <si>
    <t>Kt. ülések, állampolgári eskü, Nők napja, Március 15., Hősök napja(május 19.), Pedagógus nap, (június 1), Köztisztviselők napja (július 1.) Vörösvári Napok, polgármesteri reprezentáció, Zuzu-kupa, Bányásznap (augusztus 31.), Idősek napja</t>
  </si>
  <si>
    <t>Magánszemélyek kommunális adója ( A helyi adóról szóló 23/2008. (XI. 26.) számú rendelet 4. § (2) )</t>
  </si>
  <si>
    <t>Magánszemélyek kommunális adója ( A helyi adóról szóló 23/2008. (XI. 26.) számú rendelet 4. § (3) )</t>
  </si>
  <si>
    <t>Magánszemélyek kommunális adója ( A helyi adóról szóló 23/2008. (XI. 26.) számú rendelet 4. § (4) )</t>
  </si>
  <si>
    <t>ÁHB megelőlegezés</t>
  </si>
  <si>
    <t>Egyéb működési bevételek</t>
  </si>
  <si>
    <t>Közhatalmi bevételek</t>
  </si>
  <si>
    <t>B2, B5</t>
  </si>
  <si>
    <t>Általános-tartalék</t>
  </si>
  <si>
    <t>Működési célú-tartalék</t>
  </si>
  <si>
    <t>Nevesített fejlesztési-tartalék</t>
  </si>
  <si>
    <t xml:space="preserve">GESZ, Pilisvörösvár és Intézményei működési és felhalmozási célú bevételi és kiadási előirányzatok részletes bemutatása </t>
  </si>
  <si>
    <t>Pilisvörösvári Polgármesteri Hivatal költségvetése kötelező és önként vállalt feladat szerinti bontásban</t>
  </si>
  <si>
    <t>Gazdasági Ellátó Szervezet, Pilisvörösvár költségvetése kötelező és önként vállalt feladat szerinti bontásban</t>
  </si>
  <si>
    <t>Pilisvörösvár Város Önkormányzata és a Pilisvörösvári Polgármesteri Hivatal közhatalmi és működési bevételei</t>
  </si>
  <si>
    <t>Pilisvörösvár Város Önkormányzata és a Pilisvörösvári Polgármesteri Hivatal dologi kiadás előirányzata</t>
  </si>
  <si>
    <t>Egyéb áru- és készletértékesítés</t>
  </si>
  <si>
    <t>45</t>
  </si>
  <si>
    <t>B74</t>
  </si>
  <si>
    <t xml:space="preserve">Eredeti előirányzat kötelező feladatok </t>
  </si>
  <si>
    <t>Eredeti előirányzat önként vállalt feladatok</t>
  </si>
  <si>
    <t>Eredeti előirányzat vállalkozási tevékenység</t>
  </si>
  <si>
    <t>Eredeti előirányzat ÖSSZESEN</t>
  </si>
  <si>
    <t>Szakorvosi Rendelőintézet Nemzeti Egészségbiztosítási Alapkezelő (NEAK, előtte OEP) finanszírozás</t>
  </si>
  <si>
    <t>K321-K322</t>
  </si>
  <si>
    <t>ÁHB egyéb kamat</t>
  </si>
  <si>
    <t>Szennyvízcsatorna építése, fenntartása, üzemeltetése</t>
  </si>
  <si>
    <t> 052080</t>
  </si>
  <si>
    <t>Belföldi kincstárjegy</t>
  </si>
  <si>
    <t>072290</t>
  </si>
  <si>
    <t>46</t>
  </si>
  <si>
    <t>Pilisvörösvár 047/2 hrsz. alatti két ingatlanrész elővásárlása</t>
  </si>
  <si>
    <t>az Önkormányzat  2018. évi költségvetéséről</t>
  </si>
  <si>
    <t>2018. évi Eredeti bevételi előirányzat Összesen</t>
  </si>
  <si>
    <t>2018. évi Konszolidált bevétel eredeti előirányzat</t>
  </si>
  <si>
    <t>2018. évi Eredeti kiadási előirányzat Összesen</t>
  </si>
  <si>
    <t>2018. évi Konszolidált kiadási eredeti előirányzat</t>
  </si>
  <si>
    <t>Önkormányzat 2018. évi eredeti előirányzat</t>
  </si>
  <si>
    <t>Polgármesteri Hivatal 2018. évi eredeti előirányzat</t>
  </si>
  <si>
    <t>Szakorvosi Rendelőintézet 2018. évi eredeti előirányzat</t>
  </si>
  <si>
    <t>GESZ és intézményei   2018. évi eredeti előirányzat</t>
  </si>
  <si>
    <t>2018. évi             Eredeti előirányzat Összesen</t>
  </si>
  <si>
    <t>2018. évi            Konszolidált eredeti előirányzat</t>
  </si>
  <si>
    <t>Ligeti Cseperedő Óvoda              2018. év eredeti előirányzat</t>
  </si>
  <si>
    <t>Pilisvörösvári          Német Nemzetiségi  Óvoda             2018. év eredeti előirányzat</t>
  </si>
  <si>
    <t>Művészetek Háza                        2018. év eredeti előirányzat</t>
  </si>
  <si>
    <t>GESZ                     2018. év eredeti előirányzat</t>
  </si>
  <si>
    <t>Pilisvörösvár Tipegő Bölcsőde 2018. év eredeti előirányzat</t>
  </si>
  <si>
    <t xml:space="preserve"> Gesz és intézményei      2018. évi előirányzat összesen eredeti előirányzat</t>
  </si>
  <si>
    <t>2021. évi kifizetés</t>
  </si>
  <si>
    <t>2022. év utáni kifizetés</t>
  </si>
  <si>
    <t xml:space="preserve">2017.12.31-én fennálló kötelezettség  </t>
  </si>
  <si>
    <t>2016. évi tény  (teljesítés)</t>
  </si>
  <si>
    <t>2017. évi várható teljesítés</t>
  </si>
  <si>
    <t>2018. évi eredeti ei.</t>
  </si>
  <si>
    <t>2018. Konszolidált bevétel</t>
  </si>
  <si>
    <t>2016. évi normatíva visszafizetése</t>
  </si>
  <si>
    <t>Puskin u. 8. homlokzat felújítás</t>
  </si>
  <si>
    <t>Puskin u. 8. épület villámvédelmi renszerének felújítása (135/2017. (VIII. 03.) Kt. Sz. határozat alapján)</t>
  </si>
  <si>
    <t>2021.</t>
  </si>
  <si>
    <t>Támogatás összesen - beszámítás után</t>
  </si>
  <si>
    <t>A 2017. évről áthúzódó bérkompenzáció támogatása (432/2016 (XII.15.) Korm.rendelet szerint)</t>
  </si>
  <si>
    <t>Polgármesteri illetmény támogatása</t>
  </si>
  <si>
    <t>8 hónapra</t>
  </si>
  <si>
    <t>4 hónapra</t>
  </si>
  <si>
    <r>
      <t>Óvodapedagógusok nevelő munkáját közvetlenül segítők támogatása</t>
    </r>
    <r>
      <rPr>
        <i/>
        <sz val="12"/>
        <rFont val="Times New Roman"/>
        <family val="1"/>
        <charset val="238"/>
      </rPr>
      <t xml:space="preserve">  (Köznev. tv.2. melléklete szerint)</t>
    </r>
  </si>
  <si>
    <t xml:space="preserve">4 hónapra </t>
  </si>
  <si>
    <t xml:space="preserve">pótlólagos összeg 8 hónapra </t>
  </si>
  <si>
    <t xml:space="preserve">pótlólagos összeg 4 hónapra </t>
  </si>
  <si>
    <t>(a) Házi segítségnyújtás -szociális segítés</t>
  </si>
  <si>
    <t>(b) Házi segítségnyújtás - személyi gondozás - társulás által történő feladatellátás</t>
  </si>
  <si>
    <t>(1) Bölcsődei ellátás - nem fogyatékos, nem hátrányos helyzetű gyermek</t>
  </si>
  <si>
    <t>Kiegészítő támogatás a bölcsődében foglalkoztatott felsőfokú végzttségű kisgyermeknevelők és szakemberek béréhez</t>
  </si>
  <si>
    <t>Bölcsőde, minibölcsőde támogatása</t>
  </si>
  <si>
    <t xml:space="preserve">(1) A finanszírozás szempontjából elismert  dolgozók bértámogatása </t>
  </si>
  <si>
    <t>(2) A finanszírozás szempontjából elismert  dolgozók bértámogatása (dajkák, középfokú végzettségű gyermeknevelők, szaktanácsadók)</t>
  </si>
  <si>
    <t>Bölcsődei üzemeltetési támogatás</t>
  </si>
  <si>
    <t>Támogatás összege             2018</t>
  </si>
  <si>
    <t xml:space="preserve">   - Közművelődési érdekeltségnövelő támogatás pályázati önrész</t>
  </si>
  <si>
    <t>Bérleti díjak (sportpálya, műfüves pálya, közterület, horgászbódék, haszonbérleti díj)</t>
  </si>
  <si>
    <t>Szoc iskolas Iskola</t>
  </si>
  <si>
    <t>041233</t>
  </si>
  <si>
    <t>Hosszabb időtartamú közfoglalkoztatás</t>
  </si>
  <si>
    <t>Rendőrségi elektromos kapu</t>
  </si>
  <si>
    <t>Templom Téri Általános Iskola tornatermének felújítására a Magyar Kézilabda Szövetséghez benyújtandó pályázat önrésze</t>
  </si>
  <si>
    <t>Egyéb támogatások (Bursa Hungarica Felsőoktatási ösztöndíj, Pilisvörösvári Német Nemzetiségi Tánccsoport, sváb szekrény restaurálásának támogatása, PUFC műfűves pálya műfűcsere és hálócsere )</t>
  </si>
  <si>
    <t>„PM_OVODAFEJLESZTES 2017” című, a Ligeti Cseperedő Óvoda épületének felújítását célzó pályázat</t>
  </si>
  <si>
    <t>KÖFOP-1.2.1.-VEKOP-16 pályázat csatlakozás az ASP-hez</t>
  </si>
  <si>
    <t>Suzuky Jimny típusú terepgépjármű beszerzése</t>
  </si>
  <si>
    <t>Garanciális visszatartás</t>
  </si>
  <si>
    <r>
      <rPr>
        <b/>
        <sz val="14"/>
        <rFont val="Times New Roman"/>
        <family val="1"/>
        <charset val="238"/>
      </rPr>
      <t xml:space="preserve">8 hónapra:  </t>
    </r>
    <r>
      <rPr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II.1. (1) 1  Óvodapedagógusok elismert létszáma</t>
    </r>
  </si>
  <si>
    <t>II.2. 1 (1) óvoda napi nyitvatartási ideje eléri a 8 órát</t>
  </si>
  <si>
    <r>
      <rPr>
        <b/>
        <sz val="14"/>
        <rFont val="Times New Roman"/>
        <family val="1"/>
        <charset val="238"/>
      </rPr>
      <t xml:space="preserve">4 hónapra:   </t>
    </r>
    <r>
      <rPr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II.1. (1) 2  Óvodapedagógusok elismert létszáma</t>
    </r>
  </si>
  <si>
    <t>II.2. 1 (2) óvoda napi nyitvatartási ideje eléri a 8 órát</t>
  </si>
  <si>
    <t>II.4. a (1)  Pedagógus II. kategóriás óvónők kiegészítő támogatása (minősítés 2016. dec. 31-ig)</t>
  </si>
  <si>
    <t>Német Nemzetiségi Óvoda összesen</t>
  </si>
  <si>
    <r>
      <t xml:space="preserve">8 hónapra: </t>
    </r>
    <r>
      <rPr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II.1. (1) 1  Óvodapedagógusok elismert létszáma</t>
    </r>
  </si>
  <si>
    <r>
      <rPr>
        <b/>
        <sz val="14"/>
        <rFont val="Times New Roman"/>
        <family val="1"/>
        <charset val="238"/>
      </rPr>
      <t xml:space="preserve">4 hónapra:  </t>
    </r>
    <r>
      <rPr>
        <sz val="14"/>
        <rFont val="Times New Roman"/>
        <family val="1"/>
        <charset val="238"/>
      </rPr>
      <t xml:space="preserve">                    </t>
    </r>
    <r>
      <rPr>
        <sz val="14"/>
        <rFont val="Bookman Old Style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38"/>
      </rPr>
      <t>II.1. (1) 2  Óvodapedagógusok elismert létszáma</t>
    </r>
  </si>
  <si>
    <t>Ligeti Cseperedő Német Nemzetiségi Óvoda összesen:</t>
  </si>
  <si>
    <r>
      <rPr>
        <b/>
        <sz val="14"/>
        <rFont val="Times New Roman"/>
        <family val="1"/>
        <charset val="238"/>
      </rPr>
      <t xml:space="preserve">8 hónapra:   </t>
    </r>
    <r>
      <rPr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II.1. (1) 1  Óvodapedagógusok elismert létszáma</t>
    </r>
  </si>
  <si>
    <r>
      <rPr>
        <b/>
        <sz val="14"/>
        <rFont val="Times New Roman"/>
        <family val="1"/>
        <charset val="238"/>
      </rPr>
      <t xml:space="preserve">4 hónapra:      </t>
    </r>
    <r>
      <rPr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II.1. (1) 2  Óvodapedagógusok elismert létszáma</t>
    </r>
  </si>
  <si>
    <t>III.7.a (1) A  finanszírozás szempontjából elismert szakmai dolgozók bértámogatása: felsőfokú végzettségű kisgyermeknevelők</t>
  </si>
  <si>
    <t>III.7.a (2) A  finanszírozás szempontjából elismert szakmai dolgozók bértámogatása:bölcsődei dajkák, középfokú végzettségű kisgyermeknevelők</t>
  </si>
  <si>
    <t>III.7. b Bölcsődei üzemeltetési támogatás</t>
  </si>
  <si>
    <t>Pilisvörösvári Tipegő Bölcsőde összesen</t>
  </si>
  <si>
    <t>III.3.da házi segítségnyújtás - szociális segítés</t>
  </si>
  <si>
    <t>III.3.db (2) házi segítségnyújtás - személyi gondozás-  társulás által történő feladatellátás</t>
  </si>
  <si>
    <t>Művészetek Háza - Kult. Központ és Városi Könyvtár</t>
  </si>
  <si>
    <t>IV.1. d Települési önk. nyilvános könyvtári és közműv. feladatainak támogatása</t>
  </si>
  <si>
    <t>Művészetek Háza összesen</t>
  </si>
  <si>
    <t>Német nemzetiségi civil szervezetek támogatása</t>
  </si>
  <si>
    <t>Új pilisvörösvári rendőrségi épület megépítésének támogatása</t>
  </si>
  <si>
    <t>Bérlakás tartalék</t>
  </si>
  <si>
    <t>EDDIG FELHASZNÁLT SZABAD MARADVÁNY</t>
  </si>
  <si>
    <t>EDDIG FELHASZNÁLT KÖTELEZETTSÉGGEL TERHELT</t>
  </si>
  <si>
    <t>FELHASZNÁLHATÓ MARADVÁNY</t>
  </si>
  <si>
    <t>EDDIG FELHASZNÁLT ÖSSZES MARADVÁNY</t>
  </si>
  <si>
    <t>KÜLÖNBÖZET</t>
  </si>
  <si>
    <t>ÖNKORMÁNYZAT</t>
  </si>
  <si>
    <t>HIVATAL</t>
  </si>
  <si>
    <t>Ételszállító jármű rakterének burkolása</t>
  </si>
  <si>
    <t>17.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</si>
  <si>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</si>
  <si>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</si>
  <si>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</si>
  <si>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</si>
  <si>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</si>
  <si>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</si>
  <si>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24. melléklet</t>
  </si>
  <si>
    <t>26. melléklet</t>
  </si>
  <si>
    <t>Partnerkapcsolatok költségei (Új tornacsarnok avatása Dettingenben (Gerstetten résztelepülése), Wehrheimi delegáció látogatása, A gröbenzelli DUVG csoportjának látogatása , (Magyarországi útjuk egy állomása Pvvár), „TRINA”: A német-francia-magyar zeneiskolai projekt III. sorozatának első állomása Gerstettenben koncert:, Borszéki Napok)</t>
  </si>
  <si>
    <t>Sportlétesítmények üzemeltetése  (sporttelep, tanuszoda)</t>
  </si>
  <si>
    <t>Út, autópálya építése (engedélyezés)</t>
  </si>
  <si>
    <t>Búcsú térre tervezett sportcsarnok helyszínével kapcsolatos szakértői díj</t>
  </si>
  <si>
    <t>Duna Menti Regionális Vízmű Zrt. elleni peres eljárás kapcsán szakértői, tanácsadói díj</t>
  </si>
  <si>
    <r>
      <t>Művészetek Háza fejlesztési tartalék</t>
    </r>
    <r>
      <rPr>
        <i/>
        <sz val="12"/>
        <color indexed="8"/>
        <rFont val="Times New Roman"/>
        <family val="1"/>
        <charset val="238"/>
      </rPr>
      <t xml:space="preserve"> (Udvari falak salétromtalanítása, vakolása; Fő utca - Szabadság utca sarok díszkőburkolatának javítása; rámpa, Aula, táncterem, újterem festése, Rács büfé leválasztásához)</t>
    </r>
  </si>
  <si>
    <r>
      <t xml:space="preserve">Városi Napos Oldal Szociális Központ fejlesztési tartalék </t>
    </r>
    <r>
      <rPr>
        <i/>
        <sz val="12"/>
        <rFont val="Times New Roman"/>
        <family val="1"/>
        <charset val="238"/>
      </rPr>
      <t>(Csatorna tisztítás, karbantartás, Gépkocsi karbantartás, téli+nyárigumi szettek, Főépületben kialakított tárgyalószoba festése, Átemelő szivattyú cseréje)</t>
    </r>
  </si>
  <si>
    <r>
      <t xml:space="preserve"> Ligeti Cseperedő Német Nemzetiségi Óvoda fejlesztési tartalék </t>
    </r>
    <r>
      <rPr>
        <i/>
        <sz val="12"/>
        <color indexed="8"/>
        <rFont val="Times New Roman"/>
        <family val="1"/>
        <charset val="238"/>
      </rPr>
      <t>(Bojlercsere Szab. u., Hőelnyelő függönyök Szab. u., Tetőjavítás Szab. u., Konyha tisztasági meszelése Zrínyi u., Szab. u.)</t>
    </r>
  </si>
  <si>
    <r>
      <t>Pilisvörösvári Tipegő Bölcsőde fejlesztési tartalék</t>
    </r>
    <r>
      <rPr>
        <i/>
        <sz val="12"/>
        <color indexed="8"/>
        <rFont val="Times New Roman"/>
        <family val="1"/>
        <charset val="238"/>
      </rPr>
      <t xml:space="preserve"> ( terasz árnyékolás)</t>
    </r>
  </si>
  <si>
    <t>Útépítés: Őrhegy utca összekötése, szegélykészítéssel</t>
  </si>
  <si>
    <t>Pilisvörösvári Szakorvosi Rendelőintézet egészségügyi alapellátást biztosító helyiségeinek (háziorvosi rendelő) felújítása (pályázatból és saját forrásból)</t>
  </si>
  <si>
    <t>2017. évi összes előirányzat</t>
  </si>
  <si>
    <t>2018. év</t>
  </si>
  <si>
    <t>Kincstárjegy</t>
  </si>
  <si>
    <t>Magánszemélyek kommunális adója ( A helyi adóról szóló 23/2008. (XI. 26.) számú rendelet 3. § (2) - (3) )</t>
  </si>
  <si>
    <t>Adókedvezményre jogosult az az adóalany, aki a tárgyév január 1. napján ténylegesen Pilisvörösvár településen élő lakóhellyel rendelkező adózó. Az adókedvezmény mértéke a fizetendő adó 1/3-a, azaz évi 6.000 Ft.</t>
  </si>
  <si>
    <t xml:space="preserve">Gépjárműadóból önkormányzati rendelet alapján  kedvezmény és mentesség megállapítására nincs lehetőség, mivel azok törvény által biztosítottak. </t>
  </si>
  <si>
    <t>Adómentes adóalap vagy adókedvezmény önkormányzati rendelet alapján nincs.</t>
  </si>
  <si>
    <t>-</t>
  </si>
  <si>
    <t>Temetőben ravatalozó épületének homlokzat felújítása</t>
  </si>
  <si>
    <r>
      <t xml:space="preserve">Pilisvörösvári Német Nemzetiségi Óvoda fejlesztési tartalék </t>
    </r>
    <r>
      <rPr>
        <i/>
        <sz val="12"/>
        <color indexed="8"/>
        <rFont val="Times New Roman"/>
        <family val="1"/>
        <charset val="238"/>
      </rPr>
      <t>(Bútor Grádus, Széchenyi utcai tornaterem felújítása, Rákóczi u. óvoda épület belső udvar és homlokzat fa borításának átfestése, Széchenyi tagóvoda 2 csoportszoba és mosdó festése, Széchenyi tagóvoda 2 csoportszoba és mosdó festése, Széchenyi. u. lámpatestek cseréje, Árnyékolás homokozó fölé Széchenyi u.)</t>
    </r>
  </si>
  <si>
    <t>(1) 1</t>
  </si>
  <si>
    <t>(1) 2</t>
  </si>
  <si>
    <t>(2) 1</t>
  </si>
  <si>
    <t>(3) 1</t>
  </si>
  <si>
    <t>(2) 2</t>
  </si>
  <si>
    <t>(3) 2</t>
  </si>
  <si>
    <t>a) (1)</t>
  </si>
  <si>
    <t>b) (1)</t>
  </si>
  <si>
    <t>Pedagógus II. kategóriás óvódapedagógusok kiegészítő támogatása, akik a minősítést 2018. január 1-jei átsorolással szerezték meg</t>
  </si>
  <si>
    <t>Kiegészítő támogatás az óvodapedagógusok minősítéséből adódó többletkiadásokhoz</t>
  </si>
  <si>
    <t>Az európai uniós forrásból finanszírozott támogatással megvalósuló programok, projektek kiadásai, bevételei, valamint a helyi önkormányzat ilyen projektekhez történő hozzájárulásai</t>
  </si>
  <si>
    <t>ezer FT</t>
  </si>
  <si>
    <t xml:space="preserve">EU Projekt megnevezése: </t>
  </si>
  <si>
    <t>Felhalmozási célú támogatásokfejezeti kezelésű előirányzatok EU-s programokra és azok hazai társfinanszírozásától</t>
  </si>
  <si>
    <t>Finanszírozási bevételek- önerő hitel igénybevétele</t>
  </si>
  <si>
    <t>Finanszírozási bevételek- önkormányzat projekthez történő hozzájárulása</t>
  </si>
  <si>
    <t>Beruházási kiadások</t>
  </si>
  <si>
    <t>KÖFOP-1.2.1-VEKOP-16-2017-00658 „PILISVÖRÖSVÁR VÁROS ÖNKORMÁNYZATA ASP KÖZPONTHOZ
VALÓ CSATLAKOZÁSA”</t>
  </si>
  <si>
    <t>KÖFOP-1.2.1-VEKOP-16-2017-00658 pályázat összköltsége</t>
  </si>
  <si>
    <t>Dologi kiadások</t>
  </si>
  <si>
    <t>Személyi kiadások</t>
  </si>
  <si>
    <t>KÖFOP-1.2.1-VEKOP-16-2017-00658 pályázat összbevétele</t>
  </si>
  <si>
    <t>VEKOP-6.1.1-15-PT1-2016-00132 Kisgyermeket nevelő szülők munkavállalási aktivitásának növelése</t>
  </si>
  <si>
    <t>KEHOP-5.2.9-16-2016-00056 Pilisvörösvár szakrendelő épületének és az egészségháznak az energiahatékonysági felújítása</t>
  </si>
  <si>
    <t>Településfejlesztés igazgatása (Vörösvári Napok)</t>
  </si>
  <si>
    <t xml:space="preserve">Önkormányzati régi, elöregedett gépkocsi cseréje </t>
  </si>
  <si>
    <t>Piac tér burkolatának részleges felújítása</t>
  </si>
  <si>
    <t xml:space="preserve">33. melléklet </t>
  </si>
  <si>
    <t>II.4. b (1) Alapfokozatú végzettségű pedagógus II. kategóriába sorolt óvodapedagógusok kiegészítő támogatása, akik a minősítést 2018. január 1-jei átsorolássalszerezték meg</t>
  </si>
  <si>
    <t>Szabálysértési pénz- és helyszíni bírság, közigazgatási bírság</t>
  </si>
  <si>
    <t>47</t>
  </si>
  <si>
    <t>48</t>
  </si>
  <si>
    <t>Pilisvörösvár Város Önkormányzata működési, felhalmozási célú bevételi és kiadási előirányzatok bemutatása</t>
  </si>
  <si>
    <t xml:space="preserve">Pilisvörösvár Város Önkormányzata működési és felhalmozási célú bevételek részletes bemutatása </t>
  </si>
  <si>
    <t xml:space="preserve">Pilisvörösvár Város Önkormányzata működési és felhalmozási célú kiadások részletes bemutatása </t>
  </si>
  <si>
    <t>Pilisvörösvár Város Önkormányzata költségvetése kötelező és önként vállalt feladat szerinti bontásban</t>
  </si>
  <si>
    <t>Pilisvörösvár Város Önkormányzata működési és felhalmozási bevételei</t>
  </si>
  <si>
    <t>Pilisvörösvár Város Önkormányzata általános működésének és ágazati feladatainak állami támogatása</t>
  </si>
  <si>
    <t>Pilisvörösvár Város Önkormányzata intézményeinek finanszírozási ütemterve</t>
  </si>
  <si>
    <t>Irányító szervi támogatás (Önkormányzat által átadott finanszírozás)</t>
  </si>
  <si>
    <t>Szolgáltatások ellenértéke  (bérleti díj)</t>
  </si>
  <si>
    <t>Irányító szervtől kapott támogatás ( közmunka program 9 fő egész évben 75%-os támogatással, rendszeres gyermekvédelmi utalvány)</t>
  </si>
  <si>
    <t>Nem lakóingatlan üzemeltetés (közműdíj, karb.tart. Piac üzemelt. Továbbszámlázott közműdíjak)</t>
  </si>
  <si>
    <r>
      <t xml:space="preserve">Város-, községgazd.i egyéb szol. </t>
    </r>
    <r>
      <rPr>
        <sz val="14"/>
        <rFont val="Times New Roman"/>
        <family val="1"/>
        <charset val="238"/>
      </rPr>
      <t>(Állategészségügyi tevékenység: eseti eb összefogás, állati tetemek elszállítása. Egyéb városüzemeltetési szolgáltatás: pl.  KRESZ táblák helyreállítása, cseréje, korlátok javítása, közterületi szemetesek pótlása, buszmegállók karbantartása, utcanévtáblák, karácsonyi díszkivilágítás, ünnepi lobogózás, kiemelt közterületek, terek tisztán tartása, szemétszedés, a Piac bódé és a piac területének takarítása, a közterületi szemetesedények (127 db) heti 2-szer történő ürítése, a köztemető komplett üzemeltetése (ravatalzozó, utak, parkoló, díszparcella), a Sporttelep komplett üzemeltetése (fűnyírás, szemét elszállítás, takarítás), 10-es út aluljáró, a Vörösvárbánya és a Szabadságliget  új P+R parkolók takarítása, a Vasút lépcső, a Görgey lépcső, a Mozi köz takarítása, a Tipegő Bölcsőde előtti járda és belső udvar napi szintű takarítása (gondnoki feladatok), a Széchenyi óvoda mögötti köz takarítása  )</t>
    </r>
  </si>
  <si>
    <t xml:space="preserve"> Járóbeteg-ellátás finanszírozása és támogatása (Háziorvosi szolgálat)</t>
  </si>
  <si>
    <t>Sürgősségi ellátás (OMSZ-nek)</t>
  </si>
  <si>
    <t>Bursa Hungarica Felsőoktatási ösztöndíj</t>
  </si>
  <si>
    <t>Vállalkozásnak egyéb működési célú támogatások (Fogászati praxishozzájárulás)</t>
  </si>
  <si>
    <t>Mátyás király utca és a Nagy-tó között zárt csapadékcsatorna és a Tó-dűlői záportározó megépítése (pályázati önrész)</t>
  </si>
  <si>
    <t>Városgondnokság tárgyieszköz beszerzés</t>
  </si>
  <si>
    <t>Szakorvosi Rendelőintézet részére beszerzendő digitális röntgenkészülék önrésze (189/2017. (XI. 07.) Kt. sz. határozat)</t>
  </si>
  <si>
    <t>Német Nemzetiségi Óvoda felújítási munkái</t>
  </si>
  <si>
    <t>2018. Konszolidált kiadás</t>
  </si>
  <si>
    <t>FOGLALKOZTATOTTI LÉTSZÁM MINDÖSSZESEN</t>
  </si>
  <si>
    <t>Polgármesteri Hivatal és Pilisvörösvár Város Önkormányzata</t>
  </si>
  <si>
    <t>VEKOP-6.1.1-15-PT1-2016-00132 Kisgyermeket nevelő szülők munkavállalási aktivitásának növelése pályázat összbevétele</t>
  </si>
  <si>
    <t>VEKOP-6.1.1-15-PT1-2016-00132 Kisgyermeket nevelő szülők munkavállalási aktivitásának növelése összköltsége</t>
  </si>
  <si>
    <t>KEHOP-5.2.9-16-2016-00056 Pilisvörösvár szakrendelő épületének és az egészségháznak az energiahatékonysági felújítása összbevétele</t>
  </si>
  <si>
    <t>KEHOP-5.2.9-16-2016-00056 Pilisvörösvár szakrendelő épületének és az egészségháznak az energiahatékonysági felújítása összköltsége</t>
  </si>
  <si>
    <t>Napos Oldal Szociális Központ Idősek átmeneti gondozóháza épületének felújításának visszafizetési kötelezettsége</t>
  </si>
  <si>
    <t>Karbantartási tartalék</t>
  </si>
  <si>
    <r>
      <t>Friedrich Schiller Gimnázium fejlesztési tartalék</t>
    </r>
    <r>
      <rPr>
        <i/>
        <sz val="12"/>
        <color indexed="8"/>
        <rFont val="Times New Roman"/>
        <family val="1"/>
        <charset val="238"/>
      </rPr>
      <t xml:space="preserve"> (Gimnázium energetikai korszerűsítését előkészítő terve)</t>
    </r>
  </si>
  <si>
    <t>Magyarország 2018. évi központi költségvetéséről szóló 2017. évi C. törvény 2. számú melléklete alapján Pilisvörösvár Város Önkormányzata általános működésének és ágazati feladatainak támogatása</t>
  </si>
  <si>
    <t>Személyi juttatások  (Önként vállalt tevékenység esetében: Településőrök)</t>
  </si>
  <si>
    <t>Vörösvári Napok vendéglátósok helypénze</t>
  </si>
  <si>
    <t>Pilisvörösvár belterületén elhelyezkedő közparkok föld alatti automata öntözőrendszer tervezése és kivitelezése, automata öntőzőrendszerek beszerelése  (Hivatal és udvari park, Fő u. 66. udvara)</t>
  </si>
  <si>
    <t>Zöldterület-kezelés: pl.fakivágás, telepítés, park, közterület gondozás, gyommentesítés, virágosítás, aknázómoly, illegális hulladék, mezőőr</t>
  </si>
  <si>
    <t>Iskolai intézményi étkeztetés (Főzőkonyha)</t>
  </si>
  <si>
    <t>Óvodai intézményi étkeztetés (Főzőkonyha)</t>
  </si>
  <si>
    <t>Bölcsődei intézményi étkeztetés  (Főzőkonyha)</t>
  </si>
  <si>
    <t>2017.12.31. összesen</t>
  </si>
  <si>
    <t>Önkormányzat és Intézmények összesen</t>
  </si>
  <si>
    <r>
      <t xml:space="preserve">Rehab.foglalk. </t>
    </r>
    <r>
      <rPr>
        <sz val="16"/>
        <rFont val="Times New Roman"/>
        <family val="1"/>
        <charset val="238"/>
      </rPr>
      <t>(rész és teljes munkaidőben státuszon felül)</t>
    </r>
  </si>
  <si>
    <t>9 *</t>
  </si>
  <si>
    <r>
      <t xml:space="preserve">Közcélú foglalkoztatott     </t>
    </r>
    <r>
      <rPr>
        <sz val="16"/>
        <rFont val="Times New Roman"/>
        <family val="1"/>
        <charset val="238"/>
      </rPr>
      <t>(teljes munkaidőben)</t>
    </r>
  </si>
  <si>
    <t>Polgármesteri Hivatal **</t>
  </si>
  <si>
    <t>33.  melléklet</t>
  </si>
  <si>
    <t>Számlázott szellemi tev ( Bányatavak üzemeltetési engedélyének megszerzéséhez szükséges dokumentációk elkészítése)</t>
  </si>
  <si>
    <r>
      <t xml:space="preserve">Tervek: </t>
    </r>
    <r>
      <rPr>
        <sz val="30"/>
        <rFont val="Times New Roman"/>
        <family val="1"/>
        <charset val="238"/>
      </rPr>
      <t>Őr-hegy–Bányatavak, a Hősök tere–Háziréti-patak csapadékvíz-elvezetés vízjogi engedélyes és kiviteli tervei, Nagy-tó körüli sétány és futópálya kiviteli tervei, Pilisvörösvár város forgalomtechnikai tervének felülvizsgálata, HÉSZ módosítás</t>
    </r>
  </si>
  <si>
    <r>
      <rPr>
        <b/>
        <sz val="30"/>
        <rFont val="Times New Roman"/>
        <family val="1"/>
        <charset val="238"/>
      </rPr>
      <t xml:space="preserve">Útépítés: </t>
    </r>
    <r>
      <rPr>
        <sz val="30"/>
        <rFont val="Times New Roman"/>
        <family val="1"/>
        <charset val="238"/>
      </rPr>
      <t>Nagy-tó körüli futópálya, sétány (tereprendezés, futópálya és sétány építése, közvilágítás kiépítés), Harcsa utcai útkorrekció, Szent István utca felsőszakaszának felújítása, parkolók kialakításával, vízelvezetéssel,  köztemetői útépítés folytatása, a főbejárat útjának meghosszabbításával, valamint a XV. és a XVII. parcellák között lemenő út burkolásával</t>
    </r>
  </si>
  <si>
    <r>
      <rPr>
        <b/>
        <sz val="30"/>
        <rFont val="Times New Roman"/>
        <family val="1"/>
        <charset val="238"/>
      </rPr>
      <t xml:space="preserve">Járda és Parkolóépítés: </t>
    </r>
    <r>
      <rPr>
        <sz val="30"/>
        <rFont val="Times New Roman"/>
        <family val="1"/>
        <charset val="238"/>
      </rPr>
      <t>Járda- és parkolóépítés (vízelvezetéssel) a Fő utca páratlan oldalán, a Bányatelepen Budapest felől a buszmegállótól a Kodály Zoltán utcáig , Járdaépítés a Tavasz utca páratlan oldalán, Járda és parkolóépítés a Puskin utca 8. szám alatti udvarban lévő parkoló burkolása és az összekötő járda kialakítása a Házasságkötő terem és a Kormányablak felé, Járdaépítés a Szent Erzsébet köz burkolása faltól falig, a meglévő járda felújítása, Járdafelújítás az Iskola utca páratlan oldalán (alsó szakasz)</t>
    </r>
  </si>
  <si>
    <t>Parképítés a Vágóhíd közben (tervezés + részleges kivitelezés)</t>
  </si>
  <si>
    <t>Sportpálya világítás korszerűsítése (pályázati önrészhez támogatás)</t>
  </si>
  <si>
    <t>2017. év</t>
  </si>
  <si>
    <t xml:space="preserve">2018. év </t>
  </si>
  <si>
    <t xml:space="preserve">2017. év </t>
  </si>
  <si>
    <t xml:space="preserve">2016. év </t>
  </si>
  <si>
    <t>Pilisvörösvár Város Önkormányzata Képviselő-testületének 2/2018. (II. 9.)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</si>
</sst>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F_t_-;\-* #,##0.00\ _F_t_-;_-* &quot;-&quot;??\ _F_t_-;_-@_-"/>
    <numFmt numFmtId="164" formatCode="_-* #,##0\ _F_t_-;\-* #,##0\ _F_t_-;_-* &quot;-&quot;??\ _F_t_-;_-@_-"/>
    <numFmt numFmtId="165" formatCode="0__"/>
    <numFmt numFmtId="166" formatCode="0.0"/>
    <numFmt numFmtId="167" formatCode="\ ##########"/>
    <numFmt numFmtId="168" formatCode="[&gt;0]#,##0;[&lt;0]\-#,##0;\-#"/>
    <numFmt numFmtId="169" formatCode="#,##0_ ;[Red]\-#,##0\ "/>
    <numFmt numFmtId="170" formatCode="#,##0_ ;\-#,##0\ "/>
    <numFmt numFmtId="171" formatCode="#,##0.00000000000"/>
    <numFmt numFmtId="172" formatCode="0.000%"/>
  </numFmts>
  <fonts count="161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 CE"/>
      <family val="2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"/>
      <name val="Arial CE"/>
      <charset val="238"/>
    </font>
    <font>
      <b/>
      <i/>
      <sz val="9"/>
      <color indexed="8"/>
      <name val="Arial CE"/>
      <charset val="238"/>
    </font>
    <font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0"/>
      <name val="Georgia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Arial CE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Bookman Old Style"/>
      <family val="1"/>
      <charset val="238"/>
    </font>
    <font>
      <sz val="13"/>
      <name val="Bookman Old Style"/>
      <family val="1"/>
      <charset val="238"/>
    </font>
    <font>
      <i/>
      <sz val="14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i/>
      <sz val="10"/>
      <name val="Times New Roman"/>
      <family val="1"/>
      <charset val="238"/>
    </font>
    <font>
      <sz val="8"/>
      <name val="Arial CE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u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0"/>
      <color indexed="8"/>
      <name val="Arial CE"/>
      <charset val="238"/>
    </font>
    <font>
      <sz val="10"/>
      <color indexed="8"/>
      <name val="Arial CE"/>
      <charset val="238"/>
    </font>
    <font>
      <b/>
      <i/>
      <sz val="11"/>
      <color indexed="8"/>
      <name val="Arial CE"/>
      <charset val="238"/>
    </font>
    <font>
      <b/>
      <i/>
      <sz val="10"/>
      <name val="Arial CE"/>
      <charset val="238"/>
    </font>
    <font>
      <b/>
      <sz val="2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indexed="8"/>
      <name val="Times New Roman"/>
      <family val="1"/>
      <charset val="238"/>
    </font>
    <font>
      <u/>
      <sz val="14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indexed="30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i/>
      <sz val="9"/>
      <color indexed="8"/>
      <name val="Arial CE"/>
    </font>
    <font>
      <sz val="24"/>
      <name val="Times New Roman"/>
      <family val="1"/>
      <charset val="238"/>
    </font>
    <font>
      <b/>
      <sz val="24"/>
      <name val="Times New Roman"/>
      <family val="1"/>
      <charset val="238"/>
    </font>
    <font>
      <sz val="26"/>
      <name val="Times New Roman"/>
      <family val="1"/>
      <charset val="238"/>
    </font>
    <font>
      <b/>
      <sz val="26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</font>
    <font>
      <i/>
      <sz val="18"/>
      <name val="Times New Roman"/>
      <family val="1"/>
      <charset val="238"/>
    </font>
    <font>
      <sz val="14"/>
      <color rgb="FFFF0000"/>
      <name val="Calibri"/>
      <family val="2"/>
      <charset val="238"/>
    </font>
    <font>
      <i/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8"/>
      <name val="Times New Roman"/>
      <family val="1"/>
      <charset val="238"/>
    </font>
    <font>
      <sz val="20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8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6"/>
      <color rgb="FFFF000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8"/>
      <color indexed="8"/>
      <name val="Arial CE"/>
      <family val="2"/>
      <charset val="238"/>
    </font>
    <font>
      <b/>
      <sz val="22"/>
      <color indexed="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i/>
      <sz val="16"/>
      <name val="Times New Roman"/>
      <family val="1"/>
      <charset val="238"/>
    </font>
    <font>
      <sz val="36"/>
      <name val="Times New Roman"/>
      <family val="1"/>
      <charset val="238"/>
    </font>
    <font>
      <b/>
      <sz val="36"/>
      <name val="Times New Roman"/>
      <family val="1"/>
      <charset val="238"/>
    </font>
    <font>
      <sz val="14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30"/>
      <name val="Times New Roman"/>
      <family val="1"/>
      <charset val="238"/>
    </font>
    <font>
      <b/>
      <sz val="30"/>
      <name val="Times New Roman"/>
      <family val="1"/>
      <charset val="238"/>
    </font>
    <font>
      <b/>
      <sz val="36"/>
      <color indexed="8"/>
      <name val="Times New Roman"/>
      <family val="1"/>
      <charset val="238"/>
    </font>
    <font>
      <sz val="36"/>
      <color theme="1"/>
      <name val="Calibri"/>
      <family val="2"/>
      <charset val="238"/>
      <scheme val="minor"/>
    </font>
    <font>
      <sz val="36"/>
      <color indexed="8"/>
      <name val="Times New Roman"/>
      <family val="1"/>
      <charset val="238"/>
    </font>
    <font>
      <sz val="28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8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8" fillId="17" borderId="7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22" borderId="8" applyNumberFormat="0" applyAlignment="0" applyProtection="0"/>
    <xf numFmtId="0" fontId="32" fillId="0" borderId="0" applyNumberFormat="0" applyFill="0" applyBorder="0" applyAlignment="0" applyProtection="0"/>
    <xf numFmtId="0" fontId="110" fillId="0" borderId="0"/>
    <xf numFmtId="0" fontId="8" fillId="0" borderId="0"/>
    <xf numFmtId="0" fontId="110" fillId="0" borderId="0"/>
    <xf numFmtId="0" fontId="4" fillId="0" borderId="0"/>
    <xf numFmtId="0" fontId="3" fillId="0" borderId="0"/>
    <xf numFmtId="0" fontId="8" fillId="0" borderId="0"/>
    <xf numFmtId="0" fontId="6" fillId="0" borderId="0"/>
    <xf numFmtId="0" fontId="50" fillId="0" borderId="0"/>
    <xf numFmtId="0" fontId="83" fillId="0" borderId="0"/>
    <xf numFmtId="0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2" borderId="1" applyNumberFormat="0" applyAlignment="0" applyProtection="0"/>
    <xf numFmtId="0" fontId="3" fillId="0" borderId="0"/>
    <xf numFmtId="9" fontId="114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1966">
    <xf numFmtId="0" fontId="0" fillId="0" borderId="0" xfId="0"/>
    <xf numFmtId="0" fontId="110" fillId="0" borderId="0" xfId="45"/>
    <xf numFmtId="0" fontId="5" fillId="0" borderId="0" xfId="45" applyFont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45" applyFont="1"/>
    <xf numFmtId="0" fontId="15" fillId="0" borderId="0" xfId="45" applyFont="1"/>
    <xf numFmtId="0" fontId="18" fillId="0" borderId="0" xfId="0" applyFont="1"/>
    <xf numFmtId="0" fontId="17" fillId="0" borderId="0" xfId="0" applyFont="1" applyAlignment="1">
      <alignment horizontal="center"/>
    </xf>
    <xf numFmtId="0" fontId="9" fillId="0" borderId="10" xfId="45" applyFont="1" applyFill="1" applyBorder="1" applyAlignment="1">
      <alignment horizontal="center" wrapText="1"/>
    </xf>
    <xf numFmtId="0" fontId="13" fillId="0" borderId="0" xfId="45" applyFont="1" applyAlignment="1">
      <alignment horizontal="center"/>
    </xf>
    <xf numFmtId="0" fontId="14" fillId="0" borderId="10" xfId="45" applyFont="1" applyFill="1" applyBorder="1"/>
    <xf numFmtId="3" fontId="14" fillId="0" borderId="10" xfId="45" applyNumberFormat="1" applyFont="1" applyFill="1" applyBorder="1"/>
    <xf numFmtId="0" fontId="48" fillId="0" borderId="0" xfId="46" applyFont="1"/>
    <xf numFmtId="0" fontId="8" fillId="0" borderId="0" xfId="46"/>
    <xf numFmtId="0" fontId="7" fillId="0" borderId="0" xfId="46" applyFont="1"/>
    <xf numFmtId="0" fontId="13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0" fontId="61" fillId="0" borderId="0" xfId="45" applyFont="1"/>
    <xf numFmtId="0" fontId="47" fillId="0" borderId="0" xfId="45" applyFont="1"/>
    <xf numFmtId="3" fontId="47" fillId="0" borderId="0" xfId="45" applyNumberFormat="1" applyFont="1"/>
    <xf numFmtId="3" fontId="13" fillId="0" borderId="0" xfId="45" applyNumberFormat="1" applyFont="1"/>
    <xf numFmtId="0" fontId="51" fillId="0" borderId="0" xfId="50" applyFont="1"/>
    <xf numFmtId="0" fontId="13" fillId="0" borderId="0" xfId="0" applyFont="1" applyAlignment="1">
      <alignment horizontal="center"/>
    </xf>
    <xf numFmtId="0" fontId="9" fillId="0" borderId="18" xfId="46" applyFont="1" applyFill="1" applyBorder="1" applyAlignment="1">
      <alignment horizontal="center" vertical="center" wrapText="1"/>
    </xf>
    <xf numFmtId="165" fontId="9" fillId="0" borderId="0" xfId="63" applyNumberFormat="1" applyFont="1" applyFill="1" applyBorder="1" applyAlignment="1">
      <alignment horizontal="left" vertical="center"/>
    </xf>
    <xf numFmtId="165" fontId="16" fillId="0" borderId="0" xfId="63" applyNumberFormat="1" applyFont="1" applyFill="1" applyBorder="1" applyAlignment="1">
      <alignment horizontal="left" vertical="center"/>
    </xf>
    <xf numFmtId="165" fontId="47" fillId="0" borderId="0" xfId="63" applyNumberFormat="1" applyFont="1" applyFill="1" applyBorder="1" applyAlignment="1">
      <alignment horizontal="right" vertical="center"/>
    </xf>
    <xf numFmtId="0" fontId="14" fillId="0" borderId="0" xfId="46" applyFont="1" applyFill="1"/>
    <xf numFmtId="165" fontId="14" fillId="0" borderId="0" xfId="63" applyNumberFormat="1" applyFont="1" applyFill="1" applyBorder="1" applyAlignment="1">
      <alignment horizontal="left" vertical="center" wrapText="1"/>
    </xf>
    <xf numFmtId="165" fontId="15" fillId="0" borderId="0" xfId="63" applyNumberFormat="1" applyFont="1" applyFill="1" applyBorder="1" applyAlignment="1">
      <alignment horizontal="left" vertical="center" wrapText="1"/>
    </xf>
    <xf numFmtId="165" fontId="9" fillId="0" borderId="0" xfId="63" applyNumberFormat="1" applyFont="1" applyFill="1" applyBorder="1" applyAlignment="1">
      <alignment horizontal="left" vertical="center" wrapText="1"/>
    </xf>
    <xf numFmtId="165" fontId="16" fillId="0" borderId="0" xfId="63" applyNumberFormat="1" applyFont="1" applyFill="1" applyBorder="1" applyAlignment="1">
      <alignment horizontal="left" vertical="center" wrapText="1"/>
    </xf>
    <xf numFmtId="165" fontId="61" fillId="0" borderId="0" xfId="63" applyNumberFormat="1" applyFont="1" applyFill="1" applyBorder="1" applyAlignment="1">
      <alignment horizontal="right" vertical="center" wrapText="1"/>
    </xf>
    <xf numFmtId="0" fontId="9" fillId="0" borderId="0" xfId="46" applyFont="1" applyFill="1"/>
    <xf numFmtId="0" fontId="14" fillId="0" borderId="0" xfId="46" applyFont="1" applyFill="1" applyBorder="1" applyAlignment="1">
      <alignment wrapText="1"/>
    </xf>
    <xf numFmtId="0" fontId="14" fillId="0" borderId="0" xfId="46" applyFont="1" applyFill="1" applyBorder="1"/>
    <xf numFmtId="0" fontId="14" fillId="0" borderId="0" xfId="46" applyFont="1" applyFill="1" applyBorder="1" applyAlignment="1">
      <alignment horizontal="center" vertical="center"/>
    </xf>
    <xf numFmtId="0" fontId="14" fillId="0" borderId="0" xfId="46" applyFont="1" applyFill="1" applyBorder="1" applyAlignment="1">
      <alignment horizontal="left" wrapText="1"/>
    </xf>
    <xf numFmtId="0" fontId="14" fillId="0" borderId="0" xfId="46" applyFont="1" applyFill="1" applyAlignment="1">
      <alignment horizontal="center" vertical="center"/>
    </xf>
    <xf numFmtId="0" fontId="9" fillId="0" borderId="17" xfId="46" applyFont="1" applyFill="1" applyBorder="1" applyAlignment="1">
      <alignment horizontal="center" vertical="center" wrapText="1"/>
    </xf>
    <xf numFmtId="165" fontId="47" fillId="0" borderId="0" xfId="63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3" fillId="0" borderId="0" xfId="0" applyFont="1" applyFill="1"/>
    <xf numFmtId="0" fontId="9" fillId="0" borderId="19" xfId="0" applyFont="1" applyFill="1" applyBorder="1"/>
    <xf numFmtId="0" fontId="9" fillId="0" borderId="19" xfId="0" applyFont="1" applyBorder="1"/>
    <xf numFmtId="49" fontId="55" fillId="0" borderId="0" xfId="0" applyNumberFormat="1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12" fillId="0" borderId="0" xfId="0" applyFont="1"/>
    <xf numFmtId="0" fontId="55" fillId="0" borderId="0" xfId="0" applyFont="1" applyAlignment="1">
      <alignment horizontal="center" vertical="center" wrapText="1"/>
    </xf>
    <xf numFmtId="0" fontId="66" fillId="0" borderId="0" xfId="0" applyFont="1"/>
    <xf numFmtId="0" fontId="60" fillId="0" borderId="0" xfId="0" applyFont="1"/>
    <xf numFmtId="3" fontId="55" fillId="0" borderId="0" xfId="0" applyNumberFormat="1" applyFont="1"/>
    <xf numFmtId="0" fontId="51" fillId="0" borderId="0" xfId="0" applyFont="1"/>
    <xf numFmtId="0" fontId="14" fillId="0" borderId="0" xfId="67" applyFont="1" applyAlignment="1">
      <alignment horizontal="center" vertical="center"/>
    </xf>
    <xf numFmtId="0" fontId="9" fillId="0" borderId="0" xfId="67" applyFont="1" applyAlignment="1">
      <alignment horizontal="center" vertical="center"/>
    </xf>
    <xf numFmtId="168" fontId="16" fillId="0" borderId="19" xfId="67" applyNumberFormat="1" applyFont="1" applyBorder="1" applyAlignment="1">
      <alignment horizontal="center" vertical="center"/>
    </xf>
    <xf numFmtId="168" fontId="16" fillId="0" borderId="19" xfId="67" applyNumberFormat="1" applyFont="1" applyBorder="1" applyAlignment="1">
      <alignment horizontal="center" vertical="center" wrapText="1"/>
    </xf>
    <xf numFmtId="0" fontId="13" fillId="0" borderId="0" xfId="45" applyFont="1" applyBorder="1" applyAlignment="1">
      <alignment horizontal="center" wrapText="1"/>
    </xf>
    <xf numFmtId="3" fontId="14" fillId="0" borderId="10" xfId="45" applyNumberFormat="1" applyFont="1" applyFill="1" applyBorder="1" applyAlignment="1">
      <alignment horizontal="right"/>
    </xf>
    <xf numFmtId="0" fontId="7" fillId="0" borderId="0" xfId="46" applyFont="1" applyAlignment="1">
      <alignment horizontal="center"/>
    </xf>
    <xf numFmtId="0" fontId="8" fillId="0" borderId="0" xfId="58"/>
    <xf numFmtId="0" fontId="8" fillId="0" borderId="0" xfId="58" applyBorder="1"/>
    <xf numFmtId="0" fontId="43" fillId="0" borderId="0" xfId="58" applyFont="1"/>
    <xf numFmtId="0" fontId="43" fillId="0" borderId="0" xfId="58" applyFont="1" applyAlignment="1">
      <alignment wrapText="1"/>
    </xf>
    <xf numFmtId="0" fontId="48" fillId="0" borderId="0" xfId="58" applyFont="1" applyBorder="1"/>
    <xf numFmtId="0" fontId="7" fillId="0" borderId="0" xfId="58" applyFont="1" applyBorder="1"/>
    <xf numFmtId="1" fontId="48" fillId="0" borderId="0" xfId="58" applyNumberFormat="1" applyFont="1" applyBorder="1"/>
    <xf numFmtId="0" fontId="8" fillId="0" borderId="0" xfId="57"/>
    <xf numFmtId="0" fontId="69" fillId="0" borderId="0" xfId="57" applyFont="1"/>
    <xf numFmtId="0" fontId="40" fillId="0" borderId="0" xfId="57" applyFont="1"/>
    <xf numFmtId="0" fontId="39" fillId="0" borderId="0" xfId="57" applyFont="1"/>
    <xf numFmtId="0" fontId="70" fillId="0" borderId="0" xfId="57" applyFont="1"/>
    <xf numFmtId="0" fontId="37" fillId="0" borderId="0" xfId="57" applyFont="1"/>
    <xf numFmtId="0" fontId="71" fillId="0" borderId="0" xfId="57" applyFont="1"/>
    <xf numFmtId="0" fontId="8" fillId="0" borderId="0" xfId="57" applyBorder="1"/>
    <xf numFmtId="3" fontId="8" fillId="0" borderId="0" xfId="57" applyNumberFormat="1"/>
    <xf numFmtId="3" fontId="71" fillId="0" borderId="0" xfId="57" applyNumberFormat="1" applyFont="1"/>
    <xf numFmtId="0" fontId="8" fillId="0" borderId="26" xfId="57" applyBorder="1"/>
    <xf numFmtId="0" fontId="72" fillId="0" borderId="0" xfId="57" applyFont="1" applyBorder="1" applyAlignment="1">
      <alignment vertical="center"/>
    </xf>
    <xf numFmtId="0" fontId="68" fillId="0" borderId="0" xfId="67" applyFont="1" applyBorder="1" applyAlignment="1">
      <alignment horizontal="center" wrapText="1"/>
    </xf>
    <xf numFmtId="0" fontId="51" fillId="0" borderId="0" xfId="46" applyFont="1"/>
    <xf numFmtId="0" fontId="17" fillId="0" borderId="19" xfId="46" applyFont="1" applyFill="1" applyBorder="1" applyAlignment="1">
      <alignment horizontal="center" vertical="center" wrapText="1"/>
    </xf>
    <xf numFmtId="0" fontId="8" fillId="0" borderId="0" xfId="46" applyFont="1" applyAlignment="1">
      <alignment wrapText="1"/>
    </xf>
    <xf numFmtId="3" fontId="13" fillId="0" borderId="0" xfId="0" applyNumberFormat="1" applyFont="1" applyBorder="1"/>
    <xf numFmtId="3" fontId="42" fillId="0" borderId="0" xfId="58" applyNumberFormat="1" applyFont="1" applyFill="1" applyBorder="1"/>
    <xf numFmtId="3" fontId="41" fillId="0" borderId="0" xfId="58" applyNumberFormat="1" applyFont="1" applyFill="1" applyBorder="1"/>
    <xf numFmtId="0" fontId="38" fillId="0" borderId="0" xfId="58" applyNumberFormat="1" applyFont="1" applyBorder="1" applyAlignment="1">
      <alignment horizontal="center" vertical="center"/>
    </xf>
    <xf numFmtId="0" fontId="74" fillId="0" borderId="0" xfId="45" applyFont="1"/>
    <xf numFmtId="0" fontId="9" fillId="0" borderId="10" xfId="45" applyFont="1" applyFill="1" applyBorder="1"/>
    <xf numFmtId="3" fontId="9" fillId="0" borderId="10" xfId="45" applyNumberFormat="1" applyFont="1" applyFill="1" applyBorder="1"/>
    <xf numFmtId="0" fontId="11" fillId="0" borderId="0" xfId="0" applyFont="1"/>
    <xf numFmtId="3" fontId="15" fillId="0" borderId="0" xfId="45" applyNumberFormat="1" applyFont="1"/>
    <xf numFmtId="0" fontId="51" fillId="25" borderId="0" xfId="0" applyFont="1" applyFill="1"/>
    <xf numFmtId="0" fontId="110" fillId="0" borderId="0" xfId="45" applyAlignment="1">
      <alignment wrapText="1"/>
    </xf>
    <xf numFmtId="0" fontId="45" fillId="0" borderId="0" xfId="0" applyFont="1" applyAlignment="1">
      <alignment horizontal="center" vertical="center"/>
    </xf>
    <xf numFmtId="0" fontId="76" fillId="0" borderId="0" xfId="45" applyFont="1" applyAlignment="1">
      <alignment vertical="center"/>
    </xf>
    <xf numFmtId="167" fontId="76" fillId="0" borderId="28" xfId="0" applyNumberFormat="1" applyFont="1" applyFill="1" applyBorder="1" applyAlignment="1">
      <alignment vertical="center"/>
    </xf>
    <xf numFmtId="0" fontId="76" fillId="0" borderId="10" xfId="0" applyFont="1" applyFill="1" applyBorder="1" applyAlignment="1">
      <alignment vertical="center" wrapText="1"/>
    </xf>
    <xf numFmtId="0" fontId="77" fillId="0" borderId="10" xfId="0" applyFont="1" applyFill="1" applyBorder="1" applyAlignment="1">
      <alignment horizontal="left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vertical="center" wrapText="1"/>
    </xf>
    <xf numFmtId="0" fontId="54" fillId="0" borderId="10" xfId="0" applyFont="1" applyFill="1" applyBorder="1" applyAlignment="1">
      <alignment vertical="center"/>
    </xf>
    <xf numFmtId="0" fontId="54" fillId="0" borderId="24" xfId="0" applyFont="1" applyFill="1" applyBorder="1" applyAlignment="1">
      <alignment vertical="center"/>
    </xf>
    <xf numFmtId="167" fontId="77" fillId="26" borderId="28" xfId="0" applyNumberFormat="1" applyFont="1" applyFill="1" applyBorder="1" applyAlignment="1">
      <alignment vertical="center"/>
    </xf>
    <xf numFmtId="0" fontId="53" fillId="24" borderId="10" xfId="0" applyFont="1" applyFill="1" applyBorder="1" applyAlignment="1">
      <alignment horizontal="left" vertical="center" wrapText="1"/>
    </xf>
    <xf numFmtId="3" fontId="54" fillId="0" borderId="10" xfId="0" applyNumberFormat="1" applyFont="1" applyFill="1" applyBorder="1" applyAlignment="1">
      <alignment horizontal="right" vertical="center" wrapText="1"/>
    </xf>
    <xf numFmtId="0" fontId="76" fillId="0" borderId="28" xfId="0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3" fontId="54" fillId="0" borderId="10" xfId="0" applyNumberFormat="1" applyFont="1" applyFill="1" applyBorder="1" applyAlignment="1">
      <alignment horizontal="left" vertical="center" wrapText="1"/>
    </xf>
    <xf numFmtId="0" fontId="77" fillId="24" borderId="28" xfId="0" applyFont="1" applyFill="1" applyBorder="1" applyAlignment="1">
      <alignment horizontal="left" vertical="center"/>
    </xf>
    <xf numFmtId="3" fontId="77" fillId="24" borderId="10" xfId="0" applyNumberFormat="1" applyFont="1" applyFill="1" applyBorder="1"/>
    <xf numFmtId="3" fontId="77" fillId="24" borderId="29" xfId="0" applyNumberFormat="1" applyFont="1" applyFill="1" applyBorder="1"/>
    <xf numFmtId="0" fontId="76" fillId="0" borderId="28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/>
    </xf>
    <xf numFmtId="0" fontId="77" fillId="0" borderId="28" xfId="0" applyFont="1" applyFill="1" applyBorder="1" applyAlignment="1">
      <alignment horizontal="left" vertical="center"/>
    </xf>
    <xf numFmtId="3" fontId="77" fillId="24" borderId="10" xfId="0" applyNumberFormat="1" applyFont="1" applyFill="1" applyBorder="1" applyAlignment="1">
      <alignment horizontal="right"/>
    </xf>
    <xf numFmtId="3" fontId="77" fillId="24" borderId="29" xfId="0" applyNumberFormat="1" applyFont="1" applyFill="1" applyBorder="1" applyAlignment="1">
      <alignment horizontal="right"/>
    </xf>
    <xf numFmtId="0" fontId="45" fillId="0" borderId="0" xfId="0" applyFont="1" applyAlignment="1">
      <alignment horizontal="center" wrapText="1"/>
    </xf>
    <xf numFmtId="3" fontId="76" fillId="0" borderId="10" xfId="0" applyNumberFormat="1" applyFont="1" applyBorder="1" applyAlignment="1">
      <alignment horizontal="right"/>
    </xf>
    <xf numFmtId="3" fontId="76" fillId="0" borderId="29" xfId="0" applyNumberFormat="1" applyFont="1" applyBorder="1" applyAlignment="1">
      <alignment horizontal="right"/>
    </xf>
    <xf numFmtId="0" fontId="77" fillId="26" borderId="28" xfId="0" applyFont="1" applyFill="1" applyBorder="1" applyAlignment="1">
      <alignment horizontal="left" vertical="center"/>
    </xf>
    <xf numFmtId="0" fontId="77" fillId="26" borderId="10" xfId="0" applyFont="1" applyFill="1" applyBorder="1" applyAlignment="1">
      <alignment horizontal="left" vertical="center" wrapText="1"/>
    </xf>
    <xf numFmtId="3" fontId="77" fillId="26" borderId="10" xfId="0" applyNumberFormat="1" applyFont="1" applyFill="1" applyBorder="1" applyAlignment="1">
      <alignment horizontal="right"/>
    </xf>
    <xf numFmtId="3" fontId="77" fillId="26" borderId="29" xfId="0" applyNumberFormat="1" applyFont="1" applyFill="1" applyBorder="1" applyAlignment="1">
      <alignment horizontal="right"/>
    </xf>
    <xf numFmtId="0" fontId="76" fillId="28" borderId="28" xfId="0" applyFont="1" applyFill="1" applyBorder="1" applyAlignment="1">
      <alignment horizontal="left" vertical="center"/>
    </xf>
    <xf numFmtId="0" fontId="76" fillId="28" borderId="10" xfId="0" applyFont="1" applyFill="1" applyBorder="1"/>
    <xf numFmtId="3" fontId="76" fillId="28" borderId="10" xfId="0" applyNumberFormat="1" applyFont="1" applyFill="1" applyBorder="1" applyAlignment="1">
      <alignment horizontal="right"/>
    </xf>
    <xf numFmtId="3" fontId="76" fillId="28" borderId="29" xfId="0" applyNumberFormat="1" applyFont="1" applyFill="1" applyBorder="1" applyAlignment="1">
      <alignment horizontal="right"/>
    </xf>
    <xf numFmtId="0" fontId="78" fillId="0" borderId="28" xfId="0" applyFont="1" applyFill="1" applyBorder="1" applyAlignment="1">
      <alignment horizontal="left" vertical="center" wrapText="1"/>
    </xf>
    <xf numFmtId="0" fontId="79" fillId="0" borderId="10" xfId="0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/>
    </xf>
    <xf numFmtId="0" fontId="53" fillId="26" borderId="10" xfId="0" applyFont="1" applyFill="1" applyBorder="1" applyAlignment="1">
      <alignment horizontal="left" vertical="center" wrapText="1"/>
    </xf>
    <xf numFmtId="3" fontId="54" fillId="0" borderId="29" xfId="0" applyNumberFormat="1" applyFont="1" applyFill="1" applyBorder="1" applyAlignment="1">
      <alignment horizontal="right" vertical="center" wrapText="1"/>
    </xf>
    <xf numFmtId="3" fontId="54" fillId="0" borderId="10" xfId="0" applyNumberFormat="1" applyFont="1" applyFill="1" applyBorder="1" applyAlignment="1">
      <alignment horizontal="right" vertical="center"/>
    </xf>
    <xf numFmtId="3" fontId="54" fillId="0" borderId="29" xfId="0" applyNumberFormat="1" applyFont="1" applyFill="1" applyBorder="1" applyAlignment="1">
      <alignment horizontal="right" vertical="center"/>
    </xf>
    <xf numFmtId="0" fontId="54" fillId="0" borderId="25" xfId="0" applyFont="1" applyFill="1" applyBorder="1" applyAlignment="1">
      <alignment horizontal="left" vertical="center" wrapText="1"/>
    </xf>
    <xf numFmtId="0" fontId="54" fillId="26" borderId="10" xfId="0" applyFont="1" applyFill="1" applyBorder="1" applyAlignment="1">
      <alignment horizontal="left" vertical="center" wrapText="1"/>
    </xf>
    <xf numFmtId="0" fontId="53" fillId="24" borderId="10" xfId="0" applyFont="1" applyFill="1" applyBorder="1" applyAlignment="1">
      <alignment horizontal="left" vertical="center"/>
    </xf>
    <xf numFmtId="0" fontId="77" fillId="24" borderId="28" xfId="0" applyFont="1" applyFill="1" applyBorder="1" applyAlignment="1">
      <alignment horizontal="left" vertical="center" wrapText="1"/>
    </xf>
    <xf numFmtId="167" fontId="76" fillId="26" borderId="28" xfId="0" applyNumberFormat="1" applyFont="1" applyFill="1" applyBorder="1" applyAlignment="1">
      <alignment vertical="center"/>
    </xf>
    <xf numFmtId="3" fontId="76" fillId="0" borderId="10" xfId="0" applyNumberFormat="1" applyFont="1" applyBorder="1"/>
    <xf numFmtId="3" fontId="76" fillId="0" borderId="29" xfId="0" applyNumberFormat="1" applyFont="1" applyBorder="1"/>
    <xf numFmtId="3" fontId="77" fillId="0" borderId="10" xfId="0" applyNumberFormat="1" applyFont="1" applyBorder="1"/>
    <xf numFmtId="3" fontId="54" fillId="0" borderId="29" xfId="0" applyNumberFormat="1" applyFont="1" applyFill="1" applyBorder="1" applyAlignment="1">
      <alignment horizontal="left" vertical="center" wrapText="1"/>
    </xf>
    <xf numFmtId="3" fontId="54" fillId="0" borderId="10" xfId="0" applyNumberFormat="1" applyFont="1" applyFill="1" applyBorder="1" applyAlignment="1">
      <alignment horizontal="left" vertical="center"/>
    </xf>
    <xf numFmtId="3" fontId="54" fillId="0" borderId="29" xfId="0" applyNumberFormat="1" applyFont="1" applyFill="1" applyBorder="1" applyAlignment="1">
      <alignment horizontal="left" vertical="center"/>
    </xf>
    <xf numFmtId="3" fontId="77" fillId="0" borderId="10" xfId="0" applyNumberFormat="1" applyFont="1" applyBorder="1" applyAlignment="1">
      <alignment horizontal="right"/>
    </xf>
    <xf numFmtId="3" fontId="77" fillId="0" borderId="29" xfId="0" applyNumberFormat="1" applyFont="1" applyBorder="1" applyAlignment="1">
      <alignment horizontal="right"/>
    </xf>
    <xf numFmtId="3" fontId="76" fillId="26" borderId="10" xfId="0" applyNumberFormat="1" applyFont="1" applyFill="1" applyBorder="1" applyAlignment="1">
      <alignment horizontal="right"/>
    </xf>
    <xf numFmtId="3" fontId="76" fillId="26" borderId="29" xfId="0" applyNumberFormat="1" applyFont="1" applyFill="1" applyBorder="1" applyAlignment="1">
      <alignment horizontal="right"/>
    </xf>
    <xf numFmtId="0" fontId="76" fillId="27" borderId="36" xfId="0" applyFont="1" applyFill="1" applyBorder="1"/>
    <xf numFmtId="0" fontId="77" fillId="27" borderId="37" xfId="0" applyFont="1" applyFill="1" applyBorder="1"/>
    <xf numFmtId="3" fontId="77" fillId="26" borderId="10" xfId="0" applyNumberFormat="1" applyFont="1" applyFill="1" applyBorder="1"/>
    <xf numFmtId="3" fontId="76" fillId="28" borderId="10" xfId="0" applyNumberFormat="1" applyFont="1" applyFill="1" applyBorder="1"/>
    <xf numFmtId="3" fontId="76" fillId="26" borderId="10" xfId="0" applyNumberFormat="1" applyFont="1" applyFill="1" applyBorder="1"/>
    <xf numFmtId="3" fontId="76" fillId="26" borderId="29" xfId="0" applyNumberFormat="1" applyFont="1" applyFill="1" applyBorder="1"/>
    <xf numFmtId="3" fontId="77" fillId="27" borderId="37" xfId="0" applyNumberFormat="1" applyFont="1" applyFill="1" applyBorder="1" applyAlignment="1">
      <alignment horizontal="right"/>
    </xf>
    <xf numFmtId="3" fontId="77" fillId="27" borderId="38" xfId="0" applyNumberFormat="1" applyFont="1" applyFill="1" applyBorder="1" applyAlignment="1">
      <alignment horizontal="right"/>
    </xf>
    <xf numFmtId="0" fontId="54" fillId="0" borderId="0" xfId="46" applyFont="1" applyFill="1" applyBorder="1" applyAlignment="1">
      <alignment horizontal="center" vertical="center"/>
    </xf>
    <xf numFmtId="0" fontId="54" fillId="0" borderId="0" xfId="46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9" fillId="0" borderId="1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 wrapText="1"/>
    </xf>
    <xf numFmtId="0" fontId="45" fillId="0" borderId="0" xfId="0" applyFont="1" applyAlignment="1"/>
    <xf numFmtId="0" fontId="67" fillId="0" borderId="0" xfId="0" applyFont="1" applyAlignment="1"/>
    <xf numFmtId="0" fontId="60" fillId="0" borderId="18" xfId="0" applyFont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left" vertical="center"/>
    </xf>
    <xf numFmtId="0" fontId="54" fillId="0" borderId="25" xfId="0" applyFont="1" applyFill="1" applyBorder="1" applyAlignment="1">
      <alignment vertical="center"/>
    </xf>
    <xf numFmtId="0" fontId="53" fillId="24" borderId="19" xfId="0" applyFont="1" applyFill="1" applyBorder="1" applyAlignment="1">
      <alignment horizontal="left" vertical="center" wrapText="1"/>
    </xf>
    <xf numFmtId="0" fontId="53" fillId="29" borderId="19" xfId="0" applyFont="1" applyFill="1" applyBorder="1" applyAlignment="1">
      <alignment horizontal="left" vertical="center" wrapText="1"/>
    </xf>
    <xf numFmtId="0" fontId="17" fillId="0" borderId="0" xfId="67" applyFont="1" applyAlignment="1">
      <alignment horizontal="center" vertical="center"/>
    </xf>
    <xf numFmtId="0" fontId="81" fillId="0" borderId="0" xfId="0" applyFont="1" applyAlignment="1">
      <alignment vertical="center"/>
    </xf>
    <xf numFmtId="0" fontId="16" fillId="29" borderId="19" xfId="67" applyFont="1" applyFill="1" applyBorder="1" applyAlignment="1">
      <alignment vertical="center"/>
    </xf>
    <xf numFmtId="0" fontId="16" fillId="24" borderId="19" xfId="67" applyFont="1" applyFill="1" applyBorder="1" applyAlignment="1">
      <alignment vertical="center"/>
    </xf>
    <xf numFmtId="3" fontId="84" fillId="0" borderId="25" xfId="27" applyNumberFormat="1" applyFont="1" applyBorder="1" applyAlignment="1">
      <alignment horizontal="right"/>
    </xf>
    <xf numFmtId="0" fontId="49" fillId="0" borderId="0" xfId="50" applyFont="1" applyBorder="1" applyAlignment="1">
      <alignment wrapText="1"/>
    </xf>
    <xf numFmtId="3" fontId="84" fillId="0" borderId="0" xfId="27" applyNumberFormat="1" applyFont="1" applyBorder="1" applyAlignment="1">
      <alignment horizontal="right"/>
    </xf>
    <xf numFmtId="164" fontId="84" fillId="0" borderId="25" xfId="27" applyNumberFormat="1" applyFont="1" applyBorder="1" applyAlignment="1">
      <alignment horizontal="right"/>
    </xf>
    <xf numFmtId="3" fontId="84" fillId="0" borderId="25" xfId="27" applyNumberFormat="1" applyFont="1" applyFill="1" applyBorder="1" applyAlignment="1">
      <alignment horizontal="right"/>
    </xf>
    <xf numFmtId="0" fontId="9" fillId="29" borderId="10" xfId="45" applyFont="1" applyFill="1" applyBorder="1"/>
    <xf numFmtId="3" fontId="9" fillId="29" borderId="10" xfId="45" applyNumberFormat="1" applyFont="1" applyFill="1" applyBorder="1"/>
    <xf numFmtId="0" fontId="44" fillId="24" borderId="24" xfId="45" applyFont="1" applyFill="1" applyBorder="1"/>
    <xf numFmtId="0" fontId="14" fillId="24" borderId="24" xfId="45" applyFont="1" applyFill="1" applyBorder="1"/>
    <xf numFmtId="3" fontId="44" fillId="24" borderId="24" xfId="45" applyNumberFormat="1" applyFont="1" applyFill="1" applyBorder="1"/>
    <xf numFmtId="0" fontId="86" fillId="0" borderId="10" xfId="59" applyFont="1" applyFill="1" applyBorder="1" applyAlignment="1">
      <alignment horizontal="left"/>
    </xf>
    <xf numFmtId="1" fontId="14" fillId="0" borderId="10" xfId="45" applyNumberFormat="1" applyFont="1" applyFill="1" applyBorder="1"/>
    <xf numFmtId="0" fontId="68" fillId="0" borderId="0" xfId="68" applyFont="1" applyBorder="1" applyAlignment="1">
      <alignment wrapText="1"/>
    </xf>
    <xf numFmtId="0" fontId="45" fillId="0" borderId="0" xfId="68" applyFont="1" applyBorder="1" applyAlignment="1">
      <alignment horizontal="center" wrapText="1"/>
    </xf>
    <xf numFmtId="0" fontId="16" fillId="0" borderId="10" xfId="0" applyFont="1" applyFill="1" applyBorder="1" applyAlignment="1">
      <alignment vertical="center" wrapText="1"/>
    </xf>
    <xf numFmtId="0" fontId="9" fillId="0" borderId="0" xfId="46" applyFont="1" applyAlignment="1">
      <alignment horizontal="center"/>
    </xf>
    <xf numFmtId="0" fontId="51" fillId="0" borderId="0" xfId="58" applyFont="1"/>
    <xf numFmtId="0" fontId="51" fillId="0" borderId="0" xfId="58" applyFont="1" applyBorder="1"/>
    <xf numFmtId="0" fontId="75" fillId="0" borderId="0" xfId="58" applyFont="1" applyBorder="1"/>
    <xf numFmtId="0" fontId="63" fillId="0" borderId="0" xfId="58" applyFont="1" applyBorder="1"/>
    <xf numFmtId="0" fontId="75" fillId="0" borderId="0" xfId="58" applyFont="1" applyBorder="1" applyAlignment="1">
      <alignment horizontal="right"/>
    </xf>
    <xf numFmtId="0" fontId="63" fillId="0" borderId="0" xfId="58" applyFont="1"/>
    <xf numFmtId="0" fontId="82" fillId="0" borderId="0" xfId="58" applyFont="1" applyBorder="1" applyAlignment="1">
      <alignment horizontal="center"/>
    </xf>
    <xf numFmtId="0" fontId="62" fillId="0" borderId="0" xfId="46" applyFont="1" applyAlignment="1">
      <alignment wrapText="1"/>
    </xf>
    <xf numFmtId="0" fontId="62" fillId="0" borderId="0" xfId="46" applyFont="1"/>
    <xf numFmtId="0" fontId="62" fillId="0" borderId="0" xfId="58" applyFont="1" applyBorder="1"/>
    <xf numFmtId="0" fontId="52" fillId="0" borderId="0" xfId="71" applyFont="1" applyBorder="1" applyAlignment="1">
      <alignment horizontal="center"/>
    </xf>
    <xf numFmtId="0" fontId="52" fillId="0" borderId="0" xfId="58" applyFont="1" applyBorder="1"/>
    <xf numFmtId="0" fontId="52" fillId="0" borderId="0" xfId="58" applyFont="1" applyBorder="1" applyAlignment="1">
      <alignment horizontal="center"/>
    </xf>
    <xf numFmtId="0" fontId="46" fillId="0" borderId="0" xfId="57" applyFont="1"/>
    <xf numFmtId="0" fontId="51" fillId="0" borderId="0" xfId="57" applyFont="1"/>
    <xf numFmtId="0" fontId="63" fillId="0" borderId="0" xfId="57" applyFont="1"/>
    <xf numFmtId="0" fontId="58" fillId="0" borderId="0" xfId="57" applyFont="1" applyBorder="1" applyAlignment="1">
      <alignment horizontal="center" vertical="center"/>
    </xf>
    <xf numFmtId="0" fontId="51" fillId="0" borderId="0" xfId="50" applyFont="1" applyBorder="1" applyAlignment="1">
      <alignment horizontal="center" vertical="center"/>
    </xf>
    <xf numFmtId="0" fontId="63" fillId="0" borderId="0" xfId="57" applyFont="1" applyAlignment="1">
      <alignment wrapText="1"/>
    </xf>
    <xf numFmtId="0" fontId="60" fillId="0" borderId="27" xfId="57" applyFont="1" applyBorder="1" applyAlignment="1">
      <alignment vertical="center"/>
    </xf>
    <xf numFmtId="0" fontId="89" fillId="0" borderId="28" xfId="57" applyFont="1" applyBorder="1" applyAlignment="1">
      <alignment vertical="center" wrapText="1"/>
    </xf>
    <xf numFmtId="0" fontId="90" fillId="0" borderId="0" xfId="57" applyFont="1" applyAlignment="1">
      <alignment wrapText="1"/>
    </xf>
    <xf numFmtId="0" fontId="60" fillId="0" borderId="28" xfId="57" applyFont="1" applyBorder="1" applyAlignment="1">
      <alignment vertical="center"/>
    </xf>
    <xf numFmtId="170" fontId="73" fillId="0" borderId="0" xfId="57" applyNumberFormat="1" applyFont="1" applyAlignment="1">
      <alignment wrapText="1"/>
    </xf>
    <xf numFmtId="0" fontId="73" fillId="0" borderId="0" xfId="57" applyFont="1" applyAlignment="1">
      <alignment wrapText="1"/>
    </xf>
    <xf numFmtId="170" fontId="90" fillId="0" borderId="0" xfId="57" applyNumberFormat="1" applyFont="1" applyAlignment="1">
      <alignment wrapText="1"/>
    </xf>
    <xf numFmtId="0" fontId="73" fillId="0" borderId="0" xfId="57" applyFont="1"/>
    <xf numFmtId="0" fontId="90" fillId="0" borderId="0" xfId="57" applyFont="1"/>
    <xf numFmtId="0" fontId="66" fillId="0" borderId="28" xfId="57" applyFont="1" applyBorder="1" applyAlignment="1">
      <alignment vertical="center"/>
    </xf>
    <xf numFmtId="170" fontId="91" fillId="0" borderId="0" xfId="57" applyNumberFormat="1" applyFont="1" applyAlignment="1">
      <alignment wrapText="1"/>
    </xf>
    <xf numFmtId="0" fontId="91" fillId="0" borderId="0" xfId="57" applyFont="1"/>
    <xf numFmtId="0" fontId="90" fillId="0" borderId="0" xfId="57" applyFont="1" applyBorder="1"/>
    <xf numFmtId="0" fontId="58" fillId="0" borderId="0" xfId="57" applyFont="1" applyBorder="1"/>
    <xf numFmtId="0" fontId="58" fillId="0" borderId="0" xfId="57" applyFont="1"/>
    <xf numFmtId="0" fontId="85" fillId="0" borderId="0" xfId="57" applyFont="1" applyBorder="1"/>
    <xf numFmtId="0" fontId="85" fillId="0" borderId="0" xfId="57" applyFont="1"/>
    <xf numFmtId="0" fontId="89" fillId="0" borderId="32" xfId="57" applyFont="1" applyBorder="1" applyAlignment="1">
      <alignment vertical="center" wrapText="1"/>
    </xf>
    <xf numFmtId="0" fontId="60" fillId="0" borderId="18" xfId="57" applyFont="1" applyBorder="1" applyAlignment="1">
      <alignment vertical="center"/>
    </xf>
    <xf numFmtId="0" fontId="51" fillId="0" borderId="0" xfId="57" applyFont="1" applyBorder="1"/>
    <xf numFmtId="0" fontId="66" fillId="0" borderId="48" xfId="57" applyFont="1" applyBorder="1" applyAlignment="1">
      <alignment vertical="center" wrapText="1"/>
    </xf>
    <xf numFmtId="0" fontId="17" fillId="0" borderId="0" xfId="46" applyFont="1" applyAlignment="1"/>
    <xf numFmtId="0" fontId="16" fillId="0" borderId="0" xfId="46" applyFont="1" applyAlignment="1">
      <alignment horizontal="center" wrapText="1"/>
    </xf>
    <xf numFmtId="165" fontId="16" fillId="0" borderId="44" xfId="63" applyNumberFormat="1" applyFont="1" applyFill="1" applyBorder="1" applyAlignment="1">
      <alignment horizontal="center" vertical="center" wrapText="1"/>
    </xf>
    <xf numFmtId="0" fontId="14" fillId="0" borderId="47" xfId="46" applyFont="1" applyFill="1" applyBorder="1" applyAlignment="1">
      <alignment vertical="center"/>
    </xf>
    <xf numFmtId="165" fontId="13" fillId="0" borderId="44" xfId="63" applyNumberFormat="1" applyFont="1" applyFill="1" applyBorder="1" applyAlignment="1">
      <alignment horizontal="left" vertical="center" wrapText="1"/>
    </xf>
    <xf numFmtId="0" fontId="9" fillId="0" borderId="18" xfId="46" applyFont="1" applyFill="1" applyBorder="1" applyAlignment="1">
      <alignment vertical="center"/>
    </xf>
    <xf numFmtId="165" fontId="16" fillId="0" borderId="19" xfId="63" applyNumberFormat="1" applyFont="1" applyFill="1" applyBorder="1" applyAlignment="1">
      <alignment horizontal="left" vertical="center"/>
    </xf>
    <xf numFmtId="0" fontId="110" fillId="0" borderId="0" xfId="54"/>
    <xf numFmtId="0" fontId="93" fillId="0" borderId="0" xfId="54" applyFont="1"/>
    <xf numFmtId="0" fontId="18" fillId="0" borderId="0" xfId="54" applyFont="1"/>
    <xf numFmtId="0" fontId="17" fillId="0" borderId="18" xfId="46" applyFont="1" applyBorder="1" applyAlignment="1">
      <alignment horizontal="center" vertical="center" wrapText="1"/>
    </xf>
    <xf numFmtId="0" fontId="17" fillId="0" borderId="52" xfId="46" applyFont="1" applyFill="1" applyBorder="1" applyAlignment="1">
      <alignment horizontal="center" vertical="center" wrapText="1"/>
    </xf>
    <xf numFmtId="0" fontId="17" fillId="0" borderId="19" xfId="46" applyFont="1" applyBorder="1" applyAlignment="1">
      <alignment horizontal="center" vertical="center" wrapText="1"/>
    </xf>
    <xf numFmtId="165" fontId="46" fillId="0" borderId="27" xfId="63" applyNumberFormat="1" applyFont="1" applyFill="1" applyBorder="1" applyAlignment="1">
      <alignment vertical="center" wrapText="1"/>
    </xf>
    <xf numFmtId="0" fontId="18" fillId="0" borderId="10" xfId="54" applyFont="1" applyFill="1" applyBorder="1" applyAlignment="1">
      <alignment horizontal="left" vertical="center"/>
    </xf>
    <xf numFmtId="3" fontId="18" fillId="0" borderId="10" xfId="54" applyNumberFormat="1" applyFont="1" applyBorder="1"/>
    <xf numFmtId="3" fontId="18" fillId="0" borderId="10" xfId="54" applyNumberFormat="1" applyFont="1" applyFill="1" applyBorder="1"/>
    <xf numFmtId="3" fontId="18" fillId="0" borderId="16" xfId="54" applyNumberFormat="1" applyFont="1" applyBorder="1"/>
    <xf numFmtId="167" fontId="45" fillId="0" borderId="10" xfId="54" applyNumberFormat="1" applyFont="1" applyFill="1" applyBorder="1" applyAlignment="1">
      <alignment vertical="center"/>
    </xf>
    <xf numFmtId="3" fontId="45" fillId="0" borderId="10" xfId="54" applyNumberFormat="1" applyFont="1" applyBorder="1"/>
    <xf numFmtId="0" fontId="18" fillId="0" borderId="28" xfId="54" applyFont="1" applyFill="1" applyBorder="1" applyAlignment="1">
      <alignment horizontal="left" vertical="center" wrapText="1"/>
    </xf>
    <xf numFmtId="0" fontId="45" fillId="0" borderId="28" xfId="54" applyFont="1" applyFill="1" applyBorder="1" applyAlignment="1">
      <alignment horizontal="left" vertical="center" wrapText="1"/>
    </xf>
    <xf numFmtId="0" fontId="45" fillId="0" borderId="10" xfId="54" applyFont="1" applyFill="1" applyBorder="1" applyAlignment="1">
      <alignment horizontal="left" vertical="center"/>
    </xf>
    <xf numFmtId="3" fontId="45" fillId="0" borderId="10" xfId="54" applyNumberFormat="1" applyFont="1" applyFill="1" applyBorder="1"/>
    <xf numFmtId="3" fontId="45" fillId="0" borderId="16" xfId="54" applyNumberFormat="1" applyFont="1" applyBorder="1"/>
    <xf numFmtId="3" fontId="18" fillId="0" borderId="16" xfId="54" applyNumberFormat="1" applyFont="1" applyFill="1" applyBorder="1"/>
    <xf numFmtId="167" fontId="18" fillId="0" borderId="10" xfId="54" applyNumberFormat="1" applyFont="1" applyFill="1" applyBorder="1" applyAlignment="1">
      <alignment vertical="center"/>
    </xf>
    <xf numFmtId="3" fontId="18" fillId="0" borderId="10" xfId="54" applyNumberFormat="1" applyFont="1" applyBorder="1" applyAlignment="1">
      <alignment horizontal="center"/>
    </xf>
    <xf numFmtId="0" fontId="17" fillId="0" borderId="28" xfId="54" applyFont="1" applyFill="1" applyBorder="1" applyAlignment="1">
      <alignment horizontal="left" vertical="center" wrapText="1"/>
    </xf>
    <xf numFmtId="3" fontId="18" fillId="0" borderId="10" xfId="54" applyNumberFormat="1" applyFont="1" applyBorder="1" applyAlignment="1">
      <alignment horizontal="right"/>
    </xf>
    <xf numFmtId="3" fontId="18" fillId="0" borderId="10" xfId="54" applyNumberFormat="1" applyFont="1" applyFill="1" applyBorder="1" applyAlignment="1">
      <alignment horizontal="right"/>
    </xf>
    <xf numFmtId="3" fontId="18" fillId="0" borderId="16" xfId="54" applyNumberFormat="1" applyFont="1" applyBorder="1" applyAlignment="1">
      <alignment horizontal="right"/>
    </xf>
    <xf numFmtId="0" fontId="18" fillId="0" borderId="10" xfId="54" applyFont="1" applyFill="1" applyBorder="1" applyAlignment="1">
      <alignment horizontal="left" vertical="center" wrapText="1"/>
    </xf>
    <xf numFmtId="0" fontId="46" fillId="0" borderId="28" xfId="54" applyFont="1" applyFill="1" applyBorder="1" applyAlignment="1">
      <alignment horizontal="left" vertical="center" wrapText="1"/>
    </xf>
    <xf numFmtId="0" fontId="46" fillId="0" borderId="28" xfId="54" applyFont="1" applyFill="1" applyBorder="1" applyAlignment="1">
      <alignment horizontal="left" vertical="center"/>
    </xf>
    <xf numFmtId="3" fontId="46" fillId="0" borderId="10" xfId="54" applyNumberFormat="1" applyFont="1" applyFill="1" applyBorder="1" applyAlignment="1">
      <alignment horizontal="right" vertical="center"/>
    </xf>
    <xf numFmtId="0" fontId="45" fillId="0" borderId="10" xfId="54" applyFont="1" applyFill="1" applyBorder="1" applyAlignment="1">
      <alignment horizontal="left" vertical="center" wrapText="1"/>
    </xf>
    <xf numFmtId="0" fontId="17" fillId="0" borderId="0" xfId="54" applyFont="1" applyFill="1" applyBorder="1" applyAlignment="1">
      <alignment horizontal="left" vertical="center"/>
    </xf>
    <xf numFmtId="0" fontId="18" fillId="0" borderId="0" xfId="54" applyFont="1" applyBorder="1"/>
    <xf numFmtId="167" fontId="45" fillId="26" borderId="10" xfId="54" applyNumberFormat="1" applyFont="1" applyFill="1" applyBorder="1" applyAlignment="1">
      <alignment vertical="center"/>
    </xf>
    <xf numFmtId="3" fontId="59" fillId="26" borderId="10" xfId="54" applyNumberFormat="1" applyFont="1" applyFill="1" applyBorder="1"/>
    <xf numFmtId="0" fontId="94" fillId="26" borderId="28" xfId="54" applyFont="1" applyFill="1" applyBorder="1"/>
    <xf numFmtId="0" fontId="45" fillId="26" borderId="10" xfId="54" applyFont="1" applyFill="1" applyBorder="1" applyAlignment="1">
      <alignment horizontal="left" vertical="center"/>
    </xf>
    <xf numFmtId="0" fontId="17" fillId="24" borderId="28" xfId="54" applyFont="1" applyFill="1" applyBorder="1" applyAlignment="1">
      <alignment horizontal="left" vertical="center" wrapText="1"/>
    </xf>
    <xf numFmtId="0" fontId="45" fillId="24" borderId="10" xfId="54" applyFont="1" applyFill="1" applyBorder="1" applyAlignment="1">
      <alignment horizontal="left" vertical="center"/>
    </xf>
    <xf numFmtId="3" fontId="45" fillId="24" borderId="10" xfId="54" applyNumberFormat="1" applyFont="1" applyFill="1" applyBorder="1"/>
    <xf numFmtId="0" fontId="17" fillId="24" borderId="28" xfId="54" applyFont="1" applyFill="1" applyBorder="1" applyAlignment="1">
      <alignment horizontal="left" vertical="center"/>
    </xf>
    <xf numFmtId="0" fontId="45" fillId="24" borderId="10" xfId="54" applyFont="1" applyFill="1" applyBorder="1" applyAlignment="1">
      <alignment horizontal="left" vertical="center" wrapText="1"/>
    </xf>
    <xf numFmtId="167" fontId="45" fillId="24" borderId="10" xfId="54" applyNumberFormat="1" applyFont="1" applyFill="1" applyBorder="1" applyAlignment="1">
      <alignment vertical="center"/>
    </xf>
    <xf numFmtId="3" fontId="17" fillId="24" borderId="10" xfId="54" applyNumberFormat="1" applyFont="1" applyFill="1" applyBorder="1" applyAlignment="1">
      <alignment horizontal="right" vertical="center"/>
    </xf>
    <xf numFmtId="0" fontId="18" fillId="27" borderId="37" xfId="54" applyFont="1" applyFill="1" applyBorder="1"/>
    <xf numFmtId="3" fontId="95" fillId="27" borderId="37" xfId="54" applyNumberFormat="1" applyFont="1" applyFill="1" applyBorder="1" applyAlignment="1">
      <alignment horizontal="right" vertical="center" wrapText="1"/>
    </xf>
    <xf numFmtId="0" fontId="45" fillId="27" borderId="36" xfId="54" applyFont="1" applyFill="1" applyBorder="1"/>
    <xf numFmtId="3" fontId="59" fillId="27" borderId="37" xfId="54" applyNumberFormat="1" applyFont="1" applyFill="1" applyBorder="1"/>
    <xf numFmtId="0" fontId="17" fillId="0" borderId="28" xfId="54" applyFont="1" applyFill="1" applyBorder="1" applyAlignment="1">
      <alignment horizontal="left" vertical="center"/>
    </xf>
    <xf numFmtId="0" fontId="45" fillId="0" borderId="0" xfId="45" applyFont="1" applyAlignment="1">
      <alignment horizontal="center"/>
    </xf>
    <xf numFmtId="0" fontId="62" fillId="0" borderId="0" xfId="67" applyFont="1"/>
    <xf numFmtId="0" fontId="87" fillId="0" borderId="0" xfId="67" applyFont="1" applyBorder="1" applyAlignment="1">
      <alignment horizontal="center" vertical="center"/>
    </xf>
    <xf numFmtId="0" fontId="88" fillId="0" borderId="0" xfId="67" applyFont="1" applyBorder="1" applyAlignment="1">
      <alignment horizontal="justify" vertical="center" wrapText="1"/>
    </xf>
    <xf numFmtId="0" fontId="18" fillId="0" borderId="0" xfId="45" applyFont="1"/>
    <xf numFmtId="0" fontId="45" fillId="0" borderId="0" xfId="45" applyFont="1"/>
    <xf numFmtId="3" fontId="18" fillId="0" borderId="0" xfId="45" applyNumberFormat="1" applyFont="1"/>
    <xf numFmtId="0" fontId="18" fillId="0" borderId="28" xfId="45" applyFont="1" applyFill="1" applyBorder="1" applyAlignment="1">
      <alignment horizontal="left" vertical="center"/>
    </xf>
    <xf numFmtId="0" fontId="45" fillId="26" borderId="28" xfId="45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left" vertical="center" wrapText="1"/>
    </xf>
    <xf numFmtId="0" fontId="45" fillId="24" borderId="28" xfId="0" applyFont="1" applyFill="1" applyBorder="1" applyAlignment="1">
      <alignment horizontal="left" vertical="center"/>
    </xf>
    <xf numFmtId="0" fontId="17" fillId="24" borderId="10" xfId="0" applyFont="1" applyFill="1" applyBorder="1" applyAlignment="1">
      <alignment horizontal="left" vertical="center" wrapText="1"/>
    </xf>
    <xf numFmtId="0" fontId="45" fillId="28" borderId="28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 wrapText="1"/>
    </xf>
    <xf numFmtId="0" fontId="45" fillId="0" borderId="28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76" fillId="0" borderId="0" xfId="45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5" fillId="24" borderId="0" xfId="0" applyFont="1" applyFill="1" applyBorder="1" applyAlignment="1">
      <alignment horizontal="left" vertical="center"/>
    </xf>
    <xf numFmtId="0" fontId="17" fillId="24" borderId="0" xfId="0" applyFont="1" applyFill="1" applyBorder="1" applyAlignment="1">
      <alignment horizontal="left" vertical="center" wrapText="1"/>
    </xf>
    <xf numFmtId="0" fontId="45" fillId="28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5" fillId="24" borderId="0" xfId="0" applyFont="1" applyFill="1" applyBorder="1" applyAlignment="1">
      <alignment horizontal="left" vertical="center" wrapText="1"/>
    </xf>
    <xf numFmtId="0" fontId="17" fillId="24" borderId="0" xfId="0" applyFont="1" applyFill="1" applyBorder="1" applyAlignment="1">
      <alignment horizontal="left" vertical="center"/>
    </xf>
    <xf numFmtId="0" fontId="18" fillId="27" borderId="0" xfId="0" applyFont="1" applyFill="1" applyBorder="1"/>
    <xf numFmtId="0" fontId="45" fillId="27" borderId="0" xfId="0" applyFont="1" applyFill="1" applyBorder="1"/>
    <xf numFmtId="0" fontId="18" fillId="0" borderId="0" xfId="0" applyFont="1" applyBorder="1"/>
    <xf numFmtId="0" fontId="80" fillId="0" borderId="19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left" vertical="center" wrapText="1"/>
    </xf>
    <xf numFmtId="165" fontId="18" fillId="0" borderId="10" xfId="63" applyNumberFormat="1" applyFont="1" applyFill="1" applyBorder="1" applyAlignment="1">
      <alignment horizontal="left" vertical="center" wrapText="1"/>
    </xf>
    <xf numFmtId="0" fontId="44" fillId="29" borderId="19" xfId="0" applyFont="1" applyFill="1" applyBorder="1" applyAlignment="1">
      <alignment horizontal="left" vertical="center" wrapText="1"/>
    </xf>
    <xf numFmtId="0" fontId="44" fillId="24" borderId="19" xfId="0" applyFont="1" applyFill="1" applyBorder="1" applyAlignment="1">
      <alignment horizontal="left" vertical="center" wrapText="1"/>
    </xf>
    <xf numFmtId="0" fontId="14" fillId="0" borderId="0" xfId="0" applyFont="1"/>
    <xf numFmtId="0" fontId="17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vertical="center" wrapText="1"/>
    </xf>
    <xf numFmtId="0" fontId="17" fillId="24" borderId="2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97" fillId="0" borderId="10" xfId="67" applyFont="1" applyFill="1" applyBorder="1" applyAlignment="1">
      <alignment horizontal="justify" vertical="center" wrapText="1"/>
    </xf>
    <xf numFmtId="0" fontId="98" fillId="30" borderId="0" xfId="67" applyFont="1" applyFill="1" applyAlignment="1">
      <alignment horizontal="justify"/>
    </xf>
    <xf numFmtId="0" fontId="97" fillId="0" borderId="10" xfId="67" applyFont="1" applyBorder="1" applyAlignment="1">
      <alignment horizontal="justify" vertical="center" wrapText="1"/>
    </xf>
    <xf numFmtId="0" fontId="98" fillId="0" borderId="0" xfId="67" applyFont="1" applyAlignment="1">
      <alignment horizontal="justify"/>
    </xf>
    <xf numFmtId="0" fontId="97" fillId="0" borderId="0" xfId="67" applyFont="1" applyBorder="1" applyAlignment="1">
      <alignment horizontal="justify" wrapText="1"/>
    </xf>
    <xf numFmtId="0" fontId="97" fillId="0" borderId="0" xfId="67" applyFont="1" applyBorder="1" applyAlignment="1">
      <alignment horizontal="justify"/>
    </xf>
    <xf numFmtId="0" fontId="98" fillId="0" borderId="0" xfId="56" applyFont="1" applyAlignment="1">
      <alignment horizontal="justify"/>
    </xf>
    <xf numFmtId="0" fontId="97" fillId="0" borderId="0" xfId="67" applyFont="1" applyBorder="1" applyAlignment="1">
      <alignment horizontal="justify" vertical="center" wrapText="1"/>
    </xf>
    <xf numFmtId="0" fontId="97" fillId="0" borderId="0" xfId="56" applyFont="1" applyBorder="1" applyAlignment="1">
      <alignment horizontal="justify" wrapText="1"/>
    </xf>
    <xf numFmtId="4" fontId="97" fillId="0" borderId="0" xfId="67" applyNumberFormat="1" applyFont="1" applyBorder="1" applyAlignment="1">
      <alignment horizontal="justify"/>
    </xf>
    <xf numFmtId="0" fontId="98" fillId="0" borderId="0" xfId="66" applyFont="1" applyAlignment="1">
      <alignment horizontal="justify"/>
    </xf>
    <xf numFmtId="0" fontId="97" fillId="0" borderId="10" xfId="67" applyFont="1" applyBorder="1" applyAlignment="1">
      <alignment horizontal="left" vertical="center"/>
    </xf>
    <xf numFmtId="0" fontId="98" fillId="0" borderId="0" xfId="67" applyFont="1"/>
    <xf numFmtId="0" fontId="97" fillId="0" borderId="0" xfId="45" applyFont="1"/>
    <xf numFmtId="0" fontId="100" fillId="0" borderId="0" xfId="45" applyFont="1" applyAlignment="1">
      <alignment vertical="center"/>
    </xf>
    <xf numFmtId="3" fontId="100" fillId="0" borderId="0" xfId="45" applyNumberFormat="1" applyFont="1" applyAlignment="1">
      <alignment vertical="center"/>
    </xf>
    <xf numFmtId="0" fontId="62" fillId="0" borderId="0" xfId="0" applyFont="1"/>
    <xf numFmtId="0" fontId="102" fillId="0" borderId="0" xfId="0" applyFont="1"/>
    <xf numFmtId="0" fontId="87" fillId="0" borderId="11" xfId="46" applyFont="1" applyFill="1" applyBorder="1" applyAlignment="1">
      <alignment vertical="center" wrapText="1"/>
    </xf>
    <xf numFmtId="0" fontId="52" fillId="0" borderId="19" xfId="46" applyFont="1" applyFill="1" applyBorder="1" applyAlignment="1">
      <alignment horizontal="center" vertical="center" wrapText="1"/>
    </xf>
    <xf numFmtId="3" fontId="52" fillId="0" borderId="19" xfId="46" applyNumberFormat="1" applyFont="1" applyBorder="1" applyAlignment="1">
      <alignment horizontal="center" vertical="center" wrapText="1"/>
    </xf>
    <xf numFmtId="0" fontId="52" fillId="0" borderId="17" xfId="46" applyFont="1" applyFill="1" applyBorder="1" applyAlignment="1">
      <alignment horizontal="center" vertical="center" wrapText="1"/>
    </xf>
    <xf numFmtId="0" fontId="103" fillId="0" borderId="0" xfId="0" applyFont="1"/>
    <xf numFmtId="0" fontId="104" fillId="0" borderId="0" xfId="0" applyFont="1"/>
    <xf numFmtId="3" fontId="103" fillId="0" borderId="25" xfId="0" applyNumberFormat="1" applyFont="1" applyFill="1" applyBorder="1" applyAlignment="1">
      <alignment horizontal="right"/>
    </xf>
    <xf numFmtId="0" fontId="14" fillId="0" borderId="0" xfId="67" applyFont="1"/>
    <xf numFmtId="0" fontId="105" fillId="0" borderId="16" xfId="58" applyFont="1" applyFill="1" applyBorder="1" applyAlignment="1">
      <alignment horizontal="left"/>
    </xf>
    <xf numFmtId="0" fontId="105" fillId="0" borderId="54" xfId="58" applyFont="1" applyFill="1" applyBorder="1" applyAlignment="1">
      <alignment horizontal="left"/>
    </xf>
    <xf numFmtId="3" fontId="106" fillId="0" borderId="40" xfId="58" applyNumberFormat="1" applyFont="1" applyFill="1" applyBorder="1"/>
    <xf numFmtId="3" fontId="6" fillId="0" borderId="40" xfId="58" applyNumberFormat="1" applyFont="1" applyFill="1" applyBorder="1"/>
    <xf numFmtId="0" fontId="107" fillId="0" borderId="16" xfId="56" applyFont="1" applyBorder="1" applyAlignment="1">
      <alignment horizontal="left" wrapText="1"/>
    </xf>
    <xf numFmtId="0" fontId="8" fillId="0" borderId="0" xfId="58" applyBorder="1" applyAlignment="1">
      <alignment horizontal="left"/>
    </xf>
    <xf numFmtId="0" fontId="8" fillId="0" borderId="0" xfId="58" applyNumberFormat="1" applyBorder="1"/>
    <xf numFmtId="3" fontId="108" fillId="0" borderId="10" xfId="58" applyNumberFormat="1" applyFont="1" applyFill="1" applyBorder="1"/>
    <xf numFmtId="0" fontId="18" fillId="0" borderId="0" xfId="49" applyFont="1"/>
    <xf numFmtId="0" fontId="59" fillId="0" borderId="0" xfId="49" applyFont="1"/>
    <xf numFmtId="0" fontId="16" fillId="0" borderId="0" xfId="49" applyFont="1" applyAlignment="1">
      <alignment vertical="center"/>
    </xf>
    <xf numFmtId="0" fontId="96" fillId="0" borderId="0" xfId="49" applyFont="1"/>
    <xf numFmtId="0" fontId="45" fillId="26" borderId="0" xfId="49" applyFont="1" applyFill="1" applyBorder="1" applyAlignment="1">
      <alignment horizontal="left" vertical="center"/>
    </xf>
    <xf numFmtId="0" fontId="45" fillId="26" borderId="0" xfId="49" applyFont="1" applyFill="1" applyBorder="1" applyAlignment="1">
      <alignment horizontal="left" vertical="center" wrapText="1"/>
    </xf>
    <xf numFmtId="3" fontId="45" fillId="26" borderId="0" xfId="49" applyNumberFormat="1" applyFont="1" applyFill="1" applyBorder="1"/>
    <xf numFmtId="0" fontId="18" fillId="0" borderId="0" xfId="49" applyFont="1" applyBorder="1"/>
    <xf numFmtId="3" fontId="18" fillId="0" borderId="0" xfId="49" applyNumberFormat="1" applyFont="1" applyBorder="1"/>
    <xf numFmtId="3" fontId="45" fillId="0" borderId="0" xfId="49" applyNumberFormat="1" applyFont="1" applyBorder="1"/>
    <xf numFmtId="0" fontId="18" fillId="0" borderId="0" xfId="49" applyFont="1" applyFill="1" applyBorder="1"/>
    <xf numFmtId="0" fontId="53" fillId="0" borderId="10" xfId="46" applyFont="1" applyFill="1" applyBorder="1" applyAlignment="1">
      <alignment horizontal="center" vertical="center" wrapText="1"/>
    </xf>
    <xf numFmtId="0" fontId="46" fillId="0" borderId="10" xfId="46" applyFont="1" applyFill="1" applyBorder="1" applyAlignment="1">
      <alignment horizontal="center" vertical="center"/>
    </xf>
    <xf numFmtId="0" fontId="17" fillId="24" borderId="10" xfId="46" applyFont="1" applyFill="1" applyBorder="1" applyAlignment="1">
      <alignment horizontal="center" vertical="center"/>
    </xf>
    <xf numFmtId="165" fontId="45" fillId="24" borderId="10" xfId="63" applyNumberFormat="1" applyFont="1" applyFill="1" applyBorder="1" applyAlignment="1">
      <alignment horizontal="left" vertical="center" wrapText="1"/>
    </xf>
    <xf numFmtId="0" fontId="45" fillId="0" borderId="0" xfId="68" applyNumberFormat="1" applyFont="1" applyBorder="1" applyAlignment="1">
      <alignment horizontal="center" wrapText="1"/>
    </xf>
    <xf numFmtId="3" fontId="88" fillId="0" borderId="10" xfId="49" applyNumberFormat="1" applyFont="1" applyBorder="1"/>
    <xf numFmtId="0" fontId="15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17" fillId="0" borderId="0" xfId="46" applyFont="1" applyFill="1" applyAlignment="1">
      <alignment horizontal="center"/>
    </xf>
    <xf numFmtId="0" fontId="17" fillId="0" borderId="0" xfId="46" applyFont="1" applyFill="1" applyAlignment="1">
      <alignment horizontal="center" vertical="center"/>
    </xf>
    <xf numFmtId="0" fontId="17" fillId="0" borderId="10" xfId="46" applyFont="1" applyFill="1" applyBorder="1" applyAlignment="1">
      <alignment horizontal="center" vertical="center"/>
    </xf>
    <xf numFmtId="0" fontId="17" fillId="0" borderId="10" xfId="46" applyFont="1" applyFill="1" applyBorder="1" applyAlignment="1">
      <alignment horizontal="center" vertical="center" wrapText="1"/>
    </xf>
    <xf numFmtId="0" fontId="46" fillId="0" borderId="0" xfId="46" applyFont="1" applyFill="1" applyBorder="1" applyAlignment="1">
      <alignment horizontal="center" vertical="center"/>
    </xf>
    <xf numFmtId="0" fontId="46" fillId="0" borderId="0" xfId="46" applyFont="1" applyFill="1" applyBorder="1"/>
    <xf numFmtId="3" fontId="97" fillId="0" borderId="10" xfId="45" applyNumberFormat="1" applyFont="1" applyBorder="1" applyAlignment="1">
      <alignment vertical="center"/>
    </xf>
    <xf numFmtId="3" fontId="109" fillId="0" borderId="10" xfId="45" applyNumberFormat="1" applyFont="1" applyBorder="1" applyAlignment="1">
      <alignment vertical="center"/>
    </xf>
    <xf numFmtId="3" fontId="97" fillId="0" borderId="10" xfId="45" applyNumberFormat="1" applyFont="1" applyFill="1" applyBorder="1" applyAlignment="1">
      <alignment vertical="center"/>
    </xf>
    <xf numFmtId="3" fontId="109" fillId="0" borderId="10" xfId="45" applyNumberFormat="1" applyFont="1" applyFill="1" applyBorder="1" applyAlignment="1">
      <alignment vertical="center"/>
    </xf>
    <xf numFmtId="0" fontId="46" fillId="0" borderId="0" xfId="0" applyFont="1" applyFill="1"/>
    <xf numFmtId="0" fontId="46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8" xfId="67" applyFont="1" applyFill="1" applyBorder="1" applyAlignment="1">
      <alignment horizontal="center" vertical="center" wrapText="1"/>
    </xf>
    <xf numFmtId="0" fontId="46" fillId="0" borderId="27" xfId="67" applyFont="1" applyFill="1" applyBorder="1" applyAlignment="1">
      <alignment horizontal="center" vertical="center" wrapText="1"/>
    </xf>
    <xf numFmtId="0" fontId="46" fillId="0" borderId="25" xfId="67" applyFont="1" applyFill="1" applyBorder="1" applyAlignment="1">
      <alignment vertical="center"/>
    </xf>
    <xf numFmtId="0" fontId="46" fillId="0" borderId="0" xfId="0" applyFont="1" applyAlignment="1">
      <alignment horizontal="center"/>
    </xf>
    <xf numFmtId="0" fontId="111" fillId="0" borderId="0" xfId="0" applyFont="1"/>
    <xf numFmtId="3" fontId="46" fillId="0" borderId="0" xfId="32" applyNumberFormat="1" applyFont="1"/>
    <xf numFmtId="0" fontId="46" fillId="0" borderId="0" xfId="70" applyFont="1"/>
    <xf numFmtId="1" fontId="112" fillId="0" borderId="0" xfId="55" applyNumberFormat="1" applyFont="1"/>
    <xf numFmtId="1" fontId="113" fillId="0" borderId="0" xfId="55" applyNumberFormat="1" applyFont="1"/>
    <xf numFmtId="1" fontId="45" fillId="0" borderId="0" xfId="55" applyNumberFormat="1" applyFont="1"/>
    <xf numFmtId="1" fontId="18" fillId="0" borderId="0" xfId="55" applyNumberFormat="1" applyFont="1"/>
    <xf numFmtId="0" fontId="46" fillId="0" borderId="0" xfId="65" applyFont="1" applyBorder="1" applyAlignment="1">
      <alignment horizontal="right" vertical="center"/>
    </xf>
    <xf numFmtId="1" fontId="45" fillId="0" borderId="0" xfId="55" applyNumberFormat="1" applyFont="1" applyBorder="1"/>
    <xf numFmtId="1" fontId="18" fillId="0" borderId="0" xfId="55" applyNumberFormat="1" applyFont="1" applyBorder="1"/>
    <xf numFmtId="1" fontId="46" fillId="0" borderId="0" xfId="55" applyNumberFormat="1" applyFont="1"/>
    <xf numFmtId="0" fontId="46" fillId="0" borderId="0" xfId="65" applyFont="1" applyAlignment="1">
      <alignment horizontal="right" vertical="center"/>
    </xf>
    <xf numFmtId="0" fontId="46" fillId="0" borderId="10" xfId="70" applyFont="1" applyBorder="1"/>
    <xf numFmtId="1" fontId="45" fillId="0" borderId="10" xfId="55" applyNumberFormat="1" applyFont="1" applyBorder="1"/>
    <xf numFmtId="1" fontId="18" fillId="0" borderId="10" xfId="55" applyNumberFormat="1" applyFont="1" applyBorder="1"/>
    <xf numFmtId="169" fontId="46" fillId="0" borderId="0" xfId="70" applyNumberFormat="1" applyFont="1"/>
    <xf numFmtId="169" fontId="18" fillId="0" borderId="10" xfId="55" applyNumberFormat="1" applyFont="1" applyBorder="1"/>
    <xf numFmtId="3" fontId="46" fillId="0" borderId="0" xfId="70" applyNumberFormat="1" applyFont="1"/>
    <xf numFmtId="0" fontId="10" fillId="0" borderId="0" xfId="76" applyFont="1"/>
    <xf numFmtId="0" fontId="45" fillId="0" borderId="0" xfId="76" applyFont="1" applyAlignment="1">
      <alignment vertical="center" wrapText="1"/>
    </xf>
    <xf numFmtId="0" fontId="18" fillId="0" borderId="0" xfId="76" applyFont="1"/>
    <xf numFmtId="0" fontId="11" fillId="0" borderId="0" xfId="76" applyFont="1"/>
    <xf numFmtId="0" fontId="14" fillId="0" borderId="10" xfId="76" applyFont="1" applyFill="1" applyBorder="1" applyAlignment="1">
      <alignment horizontal="justify" vertical="center" wrapText="1"/>
    </xf>
    <xf numFmtId="0" fontId="10" fillId="0" borderId="0" xfId="76" applyFont="1" applyAlignment="1">
      <alignment horizontal="center" vertical="justify"/>
    </xf>
    <xf numFmtId="0" fontId="14" fillId="0" borderId="10" xfId="76" applyFont="1" applyBorder="1" applyAlignment="1">
      <alignment horizontal="justify" vertical="center" wrapText="1"/>
    </xf>
    <xf numFmtId="0" fontId="65" fillId="0" borderId="10" xfId="76" applyFont="1" applyBorder="1" applyAlignment="1">
      <alignment horizontal="justify" vertical="center" wrapText="1"/>
    </xf>
    <xf numFmtId="0" fontId="14" fillId="0" borderId="16" xfId="76" applyFont="1" applyBorder="1" applyAlignment="1">
      <alignment horizontal="justify" vertical="center" wrapText="1"/>
    </xf>
    <xf numFmtId="0" fontId="9" fillId="0" borderId="16" xfId="76" applyFont="1" applyBorder="1" applyAlignment="1">
      <alignment vertical="center" wrapText="1"/>
    </xf>
    <xf numFmtId="3" fontId="9" fillId="0" borderId="10" xfId="76" applyNumberFormat="1" applyFont="1" applyFill="1" applyBorder="1" applyAlignment="1">
      <alignment horizontal="right" vertical="center"/>
    </xf>
    <xf numFmtId="0" fontId="55" fillId="0" borderId="10" xfId="76" applyFont="1" applyBorder="1" applyAlignment="1">
      <alignment horizontal="justify" vertical="center"/>
    </xf>
    <xf numFmtId="0" fontId="10" fillId="0" borderId="0" xfId="76" applyFont="1" applyAlignment="1">
      <alignment horizontal="justify" vertical="center"/>
    </xf>
    <xf numFmtId="0" fontId="13" fillId="0" borderId="0" xfId="76" applyFont="1"/>
    <xf numFmtId="0" fontId="9" fillId="0" borderId="42" xfId="76" applyFont="1" applyBorder="1" applyAlignment="1">
      <alignment horizontal="justify" vertical="center" wrapText="1"/>
    </xf>
    <xf numFmtId="0" fontId="14" fillId="0" borderId="42" xfId="76" applyFont="1" applyBorder="1" applyAlignment="1">
      <alignment horizontal="justify" vertical="center" wrapText="1"/>
    </xf>
    <xf numFmtId="0" fontId="14" fillId="0" borderId="24" xfId="76" applyFont="1" applyBorder="1" applyAlignment="1">
      <alignment horizontal="justify" vertical="center" wrapText="1"/>
    </xf>
    <xf numFmtId="0" fontId="9" fillId="0" borderId="24" xfId="76" applyFont="1" applyBorder="1" applyAlignment="1">
      <alignment vertical="center" wrapText="1"/>
    </xf>
    <xf numFmtId="10" fontId="88" fillId="0" borderId="10" xfId="77" applyNumberFormat="1" applyFont="1" applyBorder="1"/>
    <xf numFmtId="171" fontId="88" fillId="0" borderId="10" xfId="49" applyNumberFormat="1" applyFont="1" applyBorder="1"/>
    <xf numFmtId="3" fontId="88" fillId="0" borderId="10" xfId="49" applyNumberFormat="1" applyFont="1" applyBorder="1" applyAlignment="1">
      <alignment horizontal="right"/>
    </xf>
    <xf numFmtId="3" fontId="17" fillId="0" borderId="10" xfId="54" applyNumberFormat="1" applyFont="1" applyFill="1" applyBorder="1" applyAlignment="1">
      <alignment horizontal="right" vertical="center"/>
    </xf>
    <xf numFmtId="0" fontId="13" fillId="0" borderId="25" xfId="67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64" fillId="0" borderId="0" xfId="0" applyFont="1" applyAlignment="1"/>
    <xf numFmtId="0" fontId="13" fillId="0" borderId="10" xfId="67" applyFont="1" applyBorder="1" applyAlignment="1">
      <alignment vertical="center" wrapText="1"/>
    </xf>
    <xf numFmtId="0" fontId="18" fillId="0" borderId="0" xfId="78" applyFont="1"/>
    <xf numFmtId="0" fontId="13" fillId="0" borderId="0" xfId="78" applyFont="1"/>
    <xf numFmtId="0" fontId="59" fillId="0" borderId="0" xfId="78" applyFont="1"/>
    <xf numFmtId="0" fontId="18" fillId="0" borderId="0" xfId="78" applyFont="1" applyAlignment="1">
      <alignment horizontal="right"/>
    </xf>
    <xf numFmtId="0" fontId="16" fillId="0" borderId="18" xfId="78" applyFont="1" applyFill="1" applyBorder="1" applyAlignment="1">
      <alignment horizontal="center" vertical="center"/>
    </xf>
    <xf numFmtId="0" fontId="16" fillId="0" borderId="19" xfId="78" applyFont="1" applyFill="1" applyBorder="1" applyAlignment="1">
      <alignment horizontal="center" vertical="center" wrapText="1"/>
    </xf>
    <xf numFmtId="0" fontId="16" fillId="0" borderId="27" xfId="78" applyFont="1" applyFill="1" applyBorder="1" applyAlignment="1">
      <alignment vertical="center" wrapText="1"/>
    </xf>
    <xf numFmtId="167" fontId="16" fillId="0" borderId="25" xfId="78" applyNumberFormat="1" applyFont="1" applyFill="1" applyBorder="1" applyAlignment="1">
      <alignment vertical="center"/>
    </xf>
    <xf numFmtId="0" fontId="16" fillId="0" borderId="28" xfId="78" applyFont="1" applyFill="1" applyBorder="1" applyAlignment="1">
      <alignment horizontal="left" vertical="center" wrapText="1"/>
    </xf>
    <xf numFmtId="167" fontId="16" fillId="0" borderId="10" xfId="78" applyNumberFormat="1" applyFont="1" applyFill="1" applyBorder="1" applyAlignment="1">
      <alignment vertical="center"/>
    </xf>
    <xf numFmtId="0" fontId="9" fillId="0" borderId="28" xfId="78" applyFont="1" applyFill="1" applyBorder="1" applyAlignment="1">
      <alignment horizontal="left" vertical="center" wrapText="1"/>
    </xf>
    <xf numFmtId="0" fontId="92" fillId="26" borderId="28" xfId="78" applyFont="1" applyFill="1" applyBorder="1"/>
    <xf numFmtId="0" fontId="92" fillId="26" borderId="10" xfId="78" applyFont="1" applyFill="1" applyBorder="1"/>
    <xf numFmtId="0" fontId="16" fillId="0" borderId="28" xfId="78" applyFont="1" applyFill="1" applyBorder="1" applyAlignment="1">
      <alignment horizontal="left" vertical="center"/>
    </xf>
    <xf numFmtId="3" fontId="16" fillId="26" borderId="10" xfId="78" applyNumberFormat="1" applyFont="1" applyFill="1" applyBorder="1" applyAlignment="1">
      <alignment horizontal="center"/>
    </xf>
    <xf numFmtId="0" fontId="16" fillId="24" borderId="28" xfId="78" applyFont="1" applyFill="1" applyBorder="1" applyAlignment="1">
      <alignment horizontal="left" vertical="center"/>
    </xf>
    <xf numFmtId="167" fontId="16" fillId="24" borderId="10" xfId="78" applyNumberFormat="1" applyFont="1" applyFill="1" applyBorder="1" applyAlignment="1">
      <alignment vertical="center"/>
    </xf>
    <xf numFmtId="0" fontId="9" fillId="0" borderId="28" xfId="78" applyFont="1" applyFill="1" applyBorder="1" applyAlignment="1">
      <alignment horizontal="left" vertical="center"/>
    </xf>
    <xf numFmtId="0" fontId="16" fillId="0" borderId="10" xfId="78" applyFont="1" applyFill="1" applyBorder="1" applyAlignment="1">
      <alignment horizontal="left" vertical="center" wrapText="1"/>
    </xf>
    <xf numFmtId="0" fontId="9" fillId="0" borderId="0" xfId="78" applyFont="1" applyFill="1" applyBorder="1" applyAlignment="1">
      <alignment horizontal="left" vertical="center"/>
    </xf>
    <xf numFmtId="0" fontId="13" fillId="0" borderId="0" xfId="78" applyFont="1" applyBorder="1"/>
    <xf numFmtId="0" fontId="14" fillId="0" borderId="28" xfId="78" applyFont="1" applyFill="1" applyBorder="1" applyAlignment="1">
      <alignment horizontal="left" vertical="center" wrapText="1"/>
    </xf>
    <xf numFmtId="0" fontId="13" fillId="0" borderId="10" xfId="78" applyFont="1" applyFill="1" applyBorder="1" applyAlignment="1">
      <alignment horizontal="left" vertical="center" wrapText="1"/>
    </xf>
    <xf numFmtId="0" fontId="14" fillId="0" borderId="0" xfId="78" applyFont="1" applyFill="1" applyBorder="1" applyAlignment="1">
      <alignment horizontal="left" vertical="center" wrapText="1"/>
    </xf>
    <xf numFmtId="0" fontId="9" fillId="24" borderId="32" xfId="78" applyFont="1" applyFill="1" applyBorder="1" applyAlignment="1">
      <alignment horizontal="left" vertical="center"/>
    </xf>
    <xf numFmtId="0" fontId="16" fillId="24" borderId="24" xfId="78" applyFont="1" applyFill="1" applyBorder="1" applyAlignment="1">
      <alignment horizontal="left" vertical="center" wrapText="1"/>
    </xf>
    <xf numFmtId="0" fontId="16" fillId="27" borderId="18" xfId="78" applyFont="1" applyFill="1" applyBorder="1"/>
    <xf numFmtId="0" fontId="13" fillId="27" borderId="19" xfId="78" applyFont="1" applyFill="1" applyBorder="1"/>
    <xf numFmtId="0" fontId="18" fillId="0" borderId="0" xfId="78" applyFont="1" applyBorder="1"/>
    <xf numFmtId="0" fontId="16" fillId="0" borderId="27" xfId="78" applyFont="1" applyFill="1" applyBorder="1" applyAlignment="1">
      <alignment horizontal="left" vertical="center" wrapText="1"/>
    </xf>
    <xf numFmtId="0" fontId="16" fillId="0" borderId="25" xfId="78" applyFont="1" applyFill="1" applyBorder="1" applyAlignment="1">
      <alignment horizontal="left" vertical="center"/>
    </xf>
    <xf numFmtId="0" fontId="16" fillId="0" borderId="10" xfId="78" applyFont="1" applyFill="1" applyBorder="1" applyAlignment="1">
      <alignment horizontal="left" vertical="center"/>
    </xf>
    <xf numFmtId="0" fontId="16" fillId="26" borderId="10" xfId="78" applyFont="1" applyFill="1" applyBorder="1" applyAlignment="1">
      <alignment horizontal="left" vertical="center"/>
    </xf>
    <xf numFmtId="0" fontId="9" fillId="24" borderId="28" xfId="78" applyFont="1" applyFill="1" applyBorder="1" applyAlignment="1">
      <alignment horizontal="left" vertical="center" wrapText="1"/>
    </xf>
    <xf numFmtId="0" fontId="16" fillId="24" borderId="10" xfId="78" applyFont="1" applyFill="1" applyBorder="1" applyAlignment="1">
      <alignment horizontal="left" vertical="center"/>
    </xf>
    <xf numFmtId="0" fontId="16" fillId="28" borderId="28" xfId="78" applyFont="1" applyFill="1" applyBorder="1"/>
    <xf numFmtId="0" fontId="16" fillId="28" borderId="10" xfId="78" applyFont="1" applyFill="1" applyBorder="1" applyAlignment="1">
      <alignment horizontal="left" vertical="center"/>
    </xf>
    <xf numFmtId="3" fontId="13" fillId="0" borderId="0" xfId="78" applyNumberFormat="1" applyFont="1" applyBorder="1"/>
    <xf numFmtId="0" fontId="62" fillId="0" borderId="0" xfId="46" applyFont="1" applyAlignment="1">
      <alignment vertical="center"/>
    </xf>
    <xf numFmtId="0" fontId="48" fillId="0" borderId="0" xfId="58" applyFont="1" applyBorder="1" applyAlignment="1">
      <alignment vertical="center"/>
    </xf>
    <xf numFmtId="0" fontId="7" fillId="0" borderId="0" xfId="58" applyFont="1" applyBorder="1" applyAlignment="1">
      <alignment vertical="center"/>
    </xf>
    <xf numFmtId="1" fontId="48" fillId="0" borderId="0" xfId="58" applyNumberFormat="1" applyFont="1" applyBorder="1" applyAlignment="1">
      <alignment vertical="center"/>
    </xf>
    <xf numFmtId="3" fontId="13" fillId="0" borderId="0" xfId="0" applyNumberFormat="1" applyFont="1"/>
    <xf numFmtId="0" fontId="13" fillId="0" borderId="0" xfId="0" applyFont="1" applyAlignment="1">
      <alignment vertical="center"/>
    </xf>
    <xf numFmtId="0" fontId="116" fillId="0" borderId="0" xfId="0" applyFont="1"/>
    <xf numFmtId="0" fontId="14" fillId="0" borderId="0" xfId="0" applyFont="1" applyAlignment="1"/>
    <xf numFmtId="0" fontId="55" fillId="0" borderId="0" xfId="0" applyFont="1" applyAlignment="1"/>
    <xf numFmtId="3" fontId="55" fillId="0" borderId="0" xfId="0" applyNumberFormat="1" applyFont="1" applyAlignment="1"/>
    <xf numFmtId="10" fontId="110" fillId="0" borderId="0" xfId="45" applyNumberFormat="1"/>
    <xf numFmtId="172" fontId="110" fillId="0" borderId="0" xfId="45" applyNumberFormat="1"/>
    <xf numFmtId="0" fontId="2" fillId="0" borderId="0" xfId="45" applyFont="1"/>
    <xf numFmtId="14" fontId="110" fillId="0" borderId="0" xfId="45" applyNumberFormat="1"/>
    <xf numFmtId="0" fontId="3" fillId="0" borderId="0" xfId="45" applyFont="1"/>
    <xf numFmtId="0" fontId="13" fillId="0" borderId="25" xfId="67" applyFont="1" applyBorder="1" applyAlignment="1">
      <alignment vertical="center" wrapText="1"/>
    </xf>
    <xf numFmtId="0" fontId="17" fillId="0" borderId="0" xfId="57" applyFont="1" applyBorder="1" applyAlignment="1">
      <alignment horizontal="center" vertical="center"/>
    </xf>
    <xf numFmtId="0" fontId="46" fillId="0" borderId="0" xfId="50" applyFont="1" applyBorder="1" applyAlignment="1">
      <alignment horizontal="center" vertical="center"/>
    </xf>
    <xf numFmtId="0" fontId="103" fillId="35" borderId="0" xfId="0" applyFont="1" applyFill="1"/>
    <xf numFmtId="0" fontId="17" fillId="0" borderId="0" xfId="80" applyFont="1" applyFill="1" applyBorder="1" applyAlignment="1"/>
    <xf numFmtId="0" fontId="60" fillId="0" borderId="0" xfId="80" applyFont="1" applyFill="1" applyBorder="1" applyAlignment="1"/>
    <xf numFmtId="0" fontId="51" fillId="0" borderId="0" xfId="81" applyFont="1" applyFill="1"/>
    <xf numFmtId="0" fontId="14" fillId="0" borderId="0" xfId="81" applyFont="1" applyFill="1"/>
    <xf numFmtId="0" fontId="51" fillId="0" borderId="0" xfId="81" applyFont="1" applyFill="1" applyBorder="1" applyAlignment="1">
      <alignment vertical="center"/>
    </xf>
    <xf numFmtId="0" fontId="115" fillId="0" borderId="0" xfId="81" applyFont="1" applyFill="1" applyBorder="1" applyAlignment="1">
      <alignment vertical="center"/>
    </xf>
    <xf numFmtId="166" fontId="46" fillId="0" borderId="0" xfId="81" applyNumberFormat="1" applyFont="1" applyFill="1" applyBorder="1"/>
    <xf numFmtId="3" fontId="46" fillId="0" borderId="0" xfId="81" applyNumberFormat="1" applyFont="1" applyFill="1" applyAlignment="1">
      <alignment horizontal="right"/>
    </xf>
    <xf numFmtId="0" fontId="46" fillId="0" borderId="0" xfId="81" applyFont="1" applyFill="1" applyBorder="1" applyAlignment="1">
      <alignment horizontal="right"/>
    </xf>
    <xf numFmtId="0" fontId="51" fillId="0" borderId="0" xfId="81" applyFont="1" applyFill="1" applyBorder="1" applyAlignment="1">
      <alignment horizontal="right"/>
    </xf>
    <xf numFmtId="0" fontId="14" fillId="0" borderId="0" xfId="81" applyFont="1" applyFill="1" applyBorder="1"/>
    <xf numFmtId="0" fontId="51" fillId="0" borderId="0" xfId="81" applyFont="1" applyFill="1" applyBorder="1"/>
    <xf numFmtId="0" fontId="9" fillId="0" borderId="20" xfId="81" applyFont="1" applyFill="1" applyBorder="1" applyAlignment="1">
      <alignment horizontal="center" vertical="center" wrapText="1"/>
    </xf>
    <xf numFmtId="3" fontId="51" fillId="0" borderId="21" xfId="81" applyNumberFormat="1" applyFont="1" applyFill="1" applyBorder="1" applyAlignment="1"/>
    <xf numFmtId="0" fontId="51" fillId="0" borderId="0" xfId="81" applyFont="1" applyFill="1" applyAlignment="1"/>
    <xf numFmtId="3" fontId="14" fillId="0" borderId="21" xfId="81" applyNumberFormat="1" applyFont="1" applyFill="1" applyBorder="1" applyAlignment="1"/>
    <xf numFmtId="0" fontId="14" fillId="0" borderId="0" xfId="81" applyFont="1" applyFill="1" applyAlignment="1"/>
    <xf numFmtId="3" fontId="51" fillId="0" borderId="0" xfId="81" applyNumberFormat="1" applyFont="1" applyFill="1" applyBorder="1" applyAlignment="1"/>
    <xf numFmtId="3" fontId="58" fillId="0" borderId="20" xfId="81" applyNumberFormat="1" applyFont="1" applyFill="1" applyBorder="1" applyAlignment="1">
      <alignment vertical="center"/>
    </xf>
    <xf numFmtId="0" fontId="9" fillId="0" borderId="0" xfId="81" applyFont="1" applyFill="1" applyBorder="1" applyAlignment="1">
      <alignment horizontal="center" vertical="center"/>
    </xf>
    <xf numFmtId="0" fontId="51" fillId="0" borderId="0" xfId="83" applyFont="1" applyFill="1" applyBorder="1" applyAlignment="1">
      <alignment vertical="center"/>
    </xf>
    <xf numFmtId="0" fontId="51" fillId="0" borderId="0" xfId="83" applyFont="1" applyFill="1" applyAlignment="1"/>
    <xf numFmtId="3" fontId="51" fillId="0" borderId="22" xfId="81" applyNumberFormat="1" applyFont="1" applyFill="1" applyBorder="1" applyAlignment="1"/>
    <xf numFmtId="3" fontId="58" fillId="34" borderId="23" xfId="81" applyNumberFormat="1" applyFont="1" applyFill="1" applyBorder="1" applyAlignment="1">
      <alignment horizontal="right" vertical="center"/>
    </xf>
    <xf numFmtId="0" fontId="51" fillId="34" borderId="0" xfId="81" applyFont="1" applyFill="1"/>
    <xf numFmtId="3" fontId="51" fillId="0" borderId="0" xfId="81" applyNumberFormat="1" applyFont="1" applyFill="1"/>
    <xf numFmtId="3" fontId="9" fillId="0" borderId="22" xfId="81" applyNumberFormat="1" applyFont="1" applyFill="1" applyBorder="1" applyAlignment="1">
      <alignment horizontal="right"/>
    </xf>
    <xf numFmtId="0" fontId="58" fillId="0" borderId="0" xfId="81" applyFont="1" applyFill="1"/>
    <xf numFmtId="0" fontId="9" fillId="0" borderId="0" xfId="81" applyFont="1" applyFill="1"/>
    <xf numFmtId="3" fontId="9" fillId="0" borderId="21" xfId="81" applyNumberFormat="1" applyFont="1" applyFill="1" applyBorder="1" applyAlignment="1">
      <alignment horizontal="right"/>
    </xf>
    <xf numFmtId="0" fontId="58" fillId="25" borderId="0" xfId="81" applyFont="1" applyFill="1"/>
    <xf numFmtId="0" fontId="9" fillId="25" borderId="0" xfId="81" applyFont="1" applyFill="1"/>
    <xf numFmtId="3" fontId="9" fillId="25" borderId="59" xfId="81" applyNumberFormat="1" applyFont="1" applyFill="1" applyBorder="1" applyAlignment="1">
      <alignment horizontal="right"/>
    </xf>
    <xf numFmtId="3" fontId="52" fillId="0" borderId="23" xfId="81" applyNumberFormat="1" applyFont="1" applyFill="1" applyBorder="1" applyAlignment="1">
      <alignment vertical="center"/>
    </xf>
    <xf numFmtId="0" fontId="62" fillId="0" borderId="0" xfId="81" applyFont="1" applyFill="1"/>
    <xf numFmtId="3" fontId="52" fillId="0" borderId="0" xfId="81" applyNumberFormat="1" applyFont="1" applyFill="1" applyBorder="1" applyAlignment="1">
      <alignment vertical="center"/>
    </xf>
    <xf numFmtId="166" fontId="17" fillId="0" borderId="0" xfId="81" applyNumberFormat="1" applyFont="1" applyFill="1" applyBorder="1" applyAlignment="1">
      <alignment vertical="center"/>
    </xf>
    <xf numFmtId="3" fontId="46" fillId="0" borderId="0" xfId="81" applyNumberFormat="1" applyFont="1" applyFill="1" applyBorder="1" applyAlignment="1">
      <alignment horizontal="right"/>
    </xf>
    <xf numFmtId="3" fontId="14" fillId="0" borderId="21" xfId="81" applyNumberFormat="1" applyFont="1" applyFill="1" applyBorder="1" applyAlignment="1">
      <alignment horizontal="right"/>
    </xf>
    <xf numFmtId="3" fontId="58" fillId="0" borderId="56" xfId="81" applyNumberFormat="1" applyFont="1" applyFill="1" applyBorder="1" applyAlignment="1"/>
    <xf numFmtId="0" fontId="58" fillId="0" borderId="0" xfId="81" applyFont="1" applyFill="1" applyAlignment="1"/>
    <xf numFmtId="3" fontId="58" fillId="0" borderId="0" xfId="81" applyNumberFormat="1" applyFont="1" applyFill="1" applyAlignment="1"/>
    <xf numFmtId="3" fontId="14" fillId="0" borderId="0" xfId="81" applyNumberFormat="1" applyFont="1" applyFill="1" applyBorder="1" applyAlignment="1"/>
    <xf numFmtId="0" fontId="14" fillId="0" borderId="0" xfId="81" applyFont="1" applyFill="1" applyBorder="1" applyAlignment="1"/>
    <xf numFmtId="3" fontId="9" fillId="0" borderId="0" xfId="81" applyNumberFormat="1" applyFont="1" applyFill="1" applyBorder="1" applyAlignment="1"/>
    <xf numFmtId="0" fontId="55" fillId="0" borderId="0" xfId="81" applyFont="1" applyFill="1" applyAlignment="1">
      <alignment vertical="center"/>
    </xf>
    <xf numFmtId="166" fontId="46" fillId="0" borderId="0" xfId="81" applyNumberFormat="1" applyFont="1" applyFill="1"/>
    <xf numFmtId="0" fontId="51" fillId="0" borderId="0" xfId="81" applyFont="1" applyFill="1" applyAlignment="1">
      <alignment vertical="center"/>
    </xf>
    <xf numFmtId="3" fontId="14" fillId="0" borderId="0" xfId="81" applyNumberFormat="1" applyFont="1" applyFill="1"/>
    <xf numFmtId="10" fontId="110" fillId="0" borderId="0" xfId="45" applyNumberFormat="1" applyBorder="1"/>
    <xf numFmtId="0" fontId="2" fillId="0" borderId="0" xfId="45" applyFont="1" applyBorder="1"/>
    <xf numFmtId="3" fontId="8" fillId="0" borderId="0" xfId="57" applyNumberFormat="1" applyBorder="1"/>
    <xf numFmtId="0" fontId="76" fillId="0" borderId="28" xfId="79" applyFont="1" applyFill="1" applyBorder="1" applyAlignment="1">
      <alignment horizontal="left" vertical="center"/>
    </xf>
    <xf numFmtId="0" fontId="76" fillId="0" borderId="10" xfId="79" applyFont="1" applyFill="1" applyBorder="1" applyAlignment="1">
      <alignment horizontal="left" vertical="center" wrapText="1"/>
    </xf>
    <xf numFmtId="3" fontId="11" fillId="0" borderId="0" xfId="0" applyNumberFormat="1" applyFont="1"/>
    <xf numFmtId="0" fontId="76" fillId="0" borderId="28" xfId="85" applyFont="1" applyFill="1" applyBorder="1" applyAlignment="1">
      <alignment horizontal="left" vertical="center"/>
    </xf>
    <xf numFmtId="0" fontId="76" fillId="0" borderId="10" xfId="85" applyFont="1" applyFill="1" applyBorder="1" applyAlignment="1">
      <alignment horizontal="left" vertical="center" wrapText="1"/>
    </xf>
    <xf numFmtId="0" fontId="13" fillId="33" borderId="0" xfId="0" applyFont="1" applyFill="1"/>
    <xf numFmtId="0" fontId="56" fillId="0" borderId="50" xfId="45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52" fillId="0" borderId="0" xfId="46" applyFont="1" applyAlignment="1">
      <alignment horizontal="center"/>
    </xf>
    <xf numFmtId="0" fontId="17" fillId="0" borderId="0" xfId="46" applyFont="1" applyAlignment="1">
      <alignment horizontal="center"/>
    </xf>
    <xf numFmtId="0" fontId="45" fillId="0" borderId="0" xfId="57" applyFont="1" applyBorder="1" applyAlignment="1">
      <alignment horizontal="center" wrapText="1"/>
    </xf>
    <xf numFmtId="3" fontId="103" fillId="0" borderId="0" xfId="0" applyNumberFormat="1" applyFont="1"/>
    <xf numFmtId="0" fontId="46" fillId="0" borderId="0" xfId="83" applyFont="1" applyFill="1" applyAlignment="1"/>
    <xf numFmtId="0" fontId="87" fillId="0" borderId="0" xfId="58" applyFont="1" applyBorder="1" applyAlignment="1">
      <alignment wrapText="1"/>
    </xf>
    <xf numFmtId="0" fontId="52" fillId="0" borderId="0" xfId="46" applyFont="1" applyAlignment="1"/>
    <xf numFmtId="172" fontId="2" fillId="0" borderId="0" xfId="85" applyNumberFormat="1" applyFont="1"/>
    <xf numFmtId="0" fontId="62" fillId="0" borderId="0" xfId="67" applyFont="1" applyAlignment="1">
      <alignment vertical="top"/>
    </xf>
    <xf numFmtId="0" fontId="13" fillId="0" borderId="24" xfId="67" applyFont="1" applyBorder="1" applyAlignment="1">
      <alignment vertical="center" wrapText="1"/>
    </xf>
    <xf numFmtId="0" fontId="54" fillId="0" borderId="10" xfId="67" applyFont="1" applyFill="1" applyBorder="1" applyAlignment="1">
      <alignment vertical="center" wrapText="1"/>
    </xf>
    <xf numFmtId="0" fontId="55" fillId="0" borderId="0" xfId="0" applyFont="1" applyAlignment="1">
      <alignment vertical="center"/>
    </xf>
    <xf numFmtId="0" fontId="60" fillId="0" borderId="0" xfId="0" applyNumberFormat="1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49" fontId="55" fillId="0" borderId="0" xfId="0" applyNumberFormat="1" applyFont="1" applyAlignment="1">
      <alignment horizontal="center" vertical="center"/>
    </xf>
    <xf numFmtId="49" fontId="55" fillId="0" borderId="0" xfId="0" applyNumberFormat="1" applyFont="1" applyAlignment="1">
      <alignment vertical="center"/>
    </xf>
    <xf numFmtId="0" fontId="54" fillId="0" borderId="10" xfId="0" applyFont="1" applyBorder="1" applyAlignment="1">
      <alignment vertical="center" wrapText="1"/>
    </xf>
    <xf numFmtId="3" fontId="55" fillId="0" borderId="0" xfId="0" applyNumberFormat="1" applyFont="1" applyAlignment="1">
      <alignment horizontal="center" vertical="center"/>
    </xf>
    <xf numFmtId="0" fontId="9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3" fontId="103" fillId="25" borderId="0" xfId="0" applyNumberFormat="1" applyFont="1" applyFill="1"/>
    <xf numFmtId="3" fontId="62" fillId="25" borderId="0" xfId="0" applyNumberFormat="1" applyFont="1" applyFill="1"/>
    <xf numFmtId="3" fontId="9" fillId="0" borderId="0" xfId="76" applyNumberFormat="1" applyFont="1" applyBorder="1" applyAlignment="1">
      <alignment horizontal="right" vertical="center"/>
    </xf>
    <xf numFmtId="3" fontId="14" fillId="0" borderId="0" xfId="76" applyNumberFormat="1" applyFont="1" applyBorder="1" applyAlignment="1">
      <alignment horizontal="right" vertical="center"/>
    </xf>
    <xf numFmtId="0" fontId="46" fillId="0" borderId="0" xfId="81" applyFont="1" applyFill="1" applyBorder="1" applyAlignment="1">
      <alignment vertical="center"/>
    </xf>
    <xf numFmtId="166" fontId="46" fillId="0" borderId="0" xfId="83" applyNumberFormat="1" applyFont="1" applyFill="1" applyBorder="1" applyAlignment="1">
      <alignment horizontal="center" vertical="center"/>
    </xf>
    <xf numFmtId="0" fontId="46" fillId="0" borderId="0" xfId="81" applyFont="1" applyFill="1" applyBorder="1"/>
    <xf numFmtId="3" fontId="46" fillId="34" borderId="10" xfId="81" applyNumberFormat="1" applyFont="1" applyFill="1" applyBorder="1" applyAlignment="1"/>
    <xf numFmtId="166" fontId="46" fillId="34" borderId="10" xfId="81" applyNumberFormat="1" applyFont="1" applyFill="1" applyBorder="1" applyAlignment="1"/>
    <xf numFmtId="0" fontId="46" fillId="34" borderId="10" xfId="84" applyFont="1" applyFill="1" applyBorder="1" applyAlignment="1">
      <alignment horizontal="justify" vertical="center" wrapText="1"/>
    </xf>
    <xf numFmtId="0" fontId="46" fillId="34" borderId="10" xfId="84" applyFont="1" applyFill="1" applyBorder="1" applyAlignment="1">
      <alignment vertical="center" wrapText="1"/>
    </xf>
    <xf numFmtId="0" fontId="18" fillId="34" borderId="10" xfId="76" applyFont="1" applyFill="1" applyBorder="1" applyAlignment="1">
      <alignment horizontal="justify" vertical="center" wrapText="1"/>
    </xf>
    <xf numFmtId="0" fontId="17" fillId="34" borderId="19" xfId="81" applyFont="1" applyFill="1" applyBorder="1" applyAlignment="1">
      <alignment horizontal="justify" vertical="center" wrapText="1"/>
    </xf>
    <xf numFmtId="166" fontId="17" fillId="34" borderId="19" xfId="81" applyNumberFormat="1" applyFont="1" applyFill="1" applyBorder="1" applyAlignment="1">
      <alignment vertical="center"/>
    </xf>
    <xf numFmtId="3" fontId="17" fillId="34" borderId="19" xfId="81" applyNumberFormat="1" applyFont="1" applyFill="1" applyBorder="1" applyAlignment="1">
      <alignment vertical="center"/>
    </xf>
    <xf numFmtId="0" fontId="17" fillId="34" borderId="0" xfId="81" applyFont="1" applyFill="1" applyBorder="1" applyAlignment="1">
      <alignment vertical="center"/>
    </xf>
    <xf numFmtId="0" fontId="17" fillId="34" borderId="0" xfId="81" applyFont="1" applyFill="1" applyBorder="1" applyAlignment="1">
      <alignment vertical="center" wrapText="1"/>
    </xf>
    <xf numFmtId="166" fontId="17" fillId="34" borderId="0" xfId="81" applyNumberFormat="1" applyFont="1" applyFill="1" applyBorder="1" applyAlignment="1">
      <alignment vertical="center"/>
    </xf>
    <xf numFmtId="3" fontId="46" fillId="34" borderId="0" xfId="81" applyNumberFormat="1" applyFont="1" applyFill="1" applyAlignment="1">
      <alignment horizontal="right"/>
    </xf>
    <xf numFmtId="0" fontId="17" fillId="34" borderId="0" xfId="81" applyFont="1" applyFill="1" applyBorder="1" applyAlignment="1">
      <alignment horizontal="center" vertical="center"/>
    </xf>
    <xf numFmtId="166" fontId="46" fillId="34" borderId="0" xfId="81" applyNumberFormat="1" applyFont="1" applyFill="1"/>
    <xf numFmtId="3" fontId="17" fillId="34" borderId="0" xfId="81" applyNumberFormat="1" applyFont="1" applyFill="1" applyBorder="1" applyAlignment="1">
      <alignment horizontal="right" vertical="center"/>
    </xf>
    <xf numFmtId="0" fontId="46" fillId="34" borderId="10" xfId="81" applyFont="1" applyFill="1" applyBorder="1" applyAlignment="1">
      <alignment vertical="center" wrapText="1"/>
    </xf>
    <xf numFmtId="3" fontId="46" fillId="34" borderId="24" xfId="81" applyNumberFormat="1" applyFont="1" applyFill="1" applyBorder="1" applyAlignment="1"/>
    <xf numFmtId="166" fontId="17" fillId="34" borderId="19" xfId="81" applyNumberFormat="1" applyFont="1" applyFill="1" applyBorder="1" applyAlignment="1">
      <alignment horizontal="center" vertical="center"/>
    </xf>
    <xf numFmtId="3" fontId="17" fillId="34" borderId="19" xfId="81" applyNumberFormat="1" applyFont="1" applyFill="1" applyBorder="1" applyAlignment="1">
      <alignment horizontal="center" vertical="center"/>
    </xf>
    <xf numFmtId="0" fontId="17" fillId="0" borderId="0" xfId="81" applyFont="1" applyFill="1" applyBorder="1" applyAlignment="1">
      <alignment vertical="center" wrapText="1"/>
    </xf>
    <xf numFmtId="3" fontId="17" fillId="0" borderId="0" xfId="81" applyNumberFormat="1" applyFont="1" applyFill="1" applyBorder="1" applyAlignment="1">
      <alignment vertical="center"/>
    </xf>
    <xf numFmtId="0" fontId="46" fillId="0" borderId="10" xfId="81" applyFont="1" applyFill="1" applyBorder="1" applyAlignment="1">
      <alignment vertical="center" wrapText="1"/>
    </xf>
    <xf numFmtId="3" fontId="46" fillId="0" borderId="10" xfId="81" applyNumberFormat="1" applyFont="1" applyFill="1" applyBorder="1" applyAlignment="1">
      <alignment vertical="center"/>
    </xf>
    <xf numFmtId="0" fontId="17" fillId="0" borderId="0" xfId="81" applyFont="1" applyFill="1" applyBorder="1" applyAlignment="1">
      <alignment horizontal="left"/>
    </xf>
    <xf numFmtId="0" fontId="17" fillId="0" borderId="0" xfId="81" applyFont="1" applyFill="1" applyBorder="1" applyAlignment="1">
      <alignment vertical="center"/>
    </xf>
    <xf numFmtId="0" fontId="17" fillId="0" borderId="0" xfId="81" applyFont="1" applyFill="1" applyBorder="1" applyAlignment="1">
      <alignment horizontal="center" vertical="center"/>
    </xf>
    <xf numFmtId="0" fontId="46" fillId="0" borderId="10" xfId="84" applyFont="1" applyFill="1" applyBorder="1" applyAlignment="1">
      <alignment vertical="center" wrapText="1"/>
    </xf>
    <xf numFmtId="166" fontId="46" fillId="0" borderId="10" xfId="81" applyNumberFormat="1" applyFont="1" applyFill="1" applyBorder="1" applyAlignment="1"/>
    <xf numFmtId="3" fontId="46" fillId="0" borderId="10" xfId="81" applyNumberFormat="1" applyFont="1" applyFill="1" applyBorder="1" applyAlignment="1"/>
    <xf numFmtId="0" fontId="109" fillId="0" borderId="10" xfId="67" applyFont="1" applyBorder="1" applyAlignment="1">
      <alignment horizontal="center" vertical="center"/>
    </xf>
    <xf numFmtId="0" fontId="97" fillId="0" borderId="10" xfId="46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46" fillId="34" borderId="24" xfId="84" applyFont="1" applyFill="1" applyBorder="1" applyAlignment="1">
      <alignment horizontal="justify" vertical="center" wrapText="1"/>
    </xf>
    <xf numFmtId="0" fontId="46" fillId="34" borderId="0" xfId="81" applyFont="1" applyFill="1" applyBorder="1" applyAlignment="1">
      <alignment vertical="center"/>
    </xf>
    <xf numFmtId="0" fontId="46" fillId="0" borderId="10" xfId="84" applyFont="1" applyFill="1" applyBorder="1" applyAlignment="1">
      <alignment horizontal="justify" vertical="center" wrapText="1"/>
    </xf>
    <xf numFmtId="0" fontId="104" fillId="0" borderId="0" xfId="81" applyFont="1" applyFill="1" applyBorder="1" applyAlignment="1">
      <alignment horizontal="left"/>
    </xf>
    <xf numFmtId="0" fontId="104" fillId="0" borderId="0" xfId="81" applyFont="1" applyFill="1" applyBorder="1" applyAlignment="1">
      <alignment horizontal="left" vertical="center"/>
    </xf>
    <xf numFmtId="0" fontId="104" fillId="34" borderId="0" xfId="81" applyFont="1" applyFill="1" applyBorder="1" applyAlignment="1">
      <alignment horizontal="left" vertical="center"/>
    </xf>
    <xf numFmtId="0" fontId="18" fillId="0" borderId="0" xfId="45" applyFont="1" applyAlignment="1">
      <alignment horizontal="center"/>
    </xf>
    <xf numFmtId="3" fontId="121" fillId="0" borderId="10" xfId="63" applyNumberFormat="1" applyFont="1" applyFill="1" applyBorder="1" applyAlignment="1">
      <alignment vertical="center"/>
    </xf>
    <xf numFmtId="3" fontId="104" fillId="24" borderId="10" xfId="63" applyNumberFormat="1" applyFont="1" applyFill="1" applyBorder="1" applyAlignment="1">
      <alignment vertical="center" wrapText="1"/>
    </xf>
    <xf numFmtId="3" fontId="103" fillId="0" borderId="10" xfId="63" applyNumberFormat="1" applyFont="1" applyFill="1" applyBorder="1" applyAlignment="1">
      <alignment horizontal="right" vertical="center" wrapText="1"/>
    </xf>
    <xf numFmtId="3" fontId="104" fillId="24" borderId="10" xfId="63" applyNumberFormat="1" applyFont="1" applyFill="1" applyBorder="1" applyAlignment="1">
      <alignment horizontal="right" vertical="center" wrapText="1"/>
    </xf>
    <xf numFmtId="3" fontId="52" fillId="0" borderId="19" xfId="0" applyNumberFormat="1" applyFont="1" applyFill="1" applyBorder="1" applyAlignment="1">
      <alignment horizontal="right" vertical="center"/>
    </xf>
    <xf numFmtId="3" fontId="62" fillId="0" borderId="10" xfId="0" applyNumberFormat="1" applyFont="1" applyBorder="1" applyAlignment="1">
      <alignment horizontal="right" vertical="center"/>
    </xf>
    <xf numFmtId="3" fontId="62" fillId="0" borderId="24" xfId="0" applyNumberFormat="1" applyFont="1" applyBorder="1" applyAlignment="1">
      <alignment horizontal="right" vertical="center"/>
    </xf>
    <xf numFmtId="3" fontId="52" fillId="24" borderId="19" xfId="0" applyNumberFormat="1" applyFont="1" applyFill="1" applyBorder="1" applyAlignment="1">
      <alignment horizontal="right" vertical="center"/>
    </xf>
    <xf numFmtId="3" fontId="103" fillId="0" borderId="10" xfId="0" applyNumberFormat="1" applyFont="1" applyBorder="1" applyAlignment="1">
      <alignment horizontal="right" vertical="center"/>
    </xf>
    <xf numFmtId="3" fontId="103" fillId="0" borderId="10" xfId="0" applyNumberFormat="1" applyFont="1" applyFill="1" applyBorder="1" applyAlignment="1">
      <alignment horizontal="right" vertical="center"/>
    </xf>
    <xf numFmtId="3" fontId="122" fillId="29" borderId="19" xfId="0" applyNumberFormat="1" applyFont="1" applyFill="1" applyBorder="1" applyAlignment="1">
      <alignment horizontal="right"/>
    </xf>
    <xf numFmtId="3" fontId="62" fillId="0" borderId="25" xfId="0" applyNumberFormat="1" applyFont="1" applyBorder="1" applyAlignment="1">
      <alignment horizontal="right"/>
    </xf>
    <xf numFmtId="3" fontId="62" fillId="0" borderId="10" xfId="0" applyNumberFormat="1" applyFont="1" applyBorder="1" applyAlignment="1">
      <alignment horizontal="right"/>
    </xf>
    <xf numFmtId="3" fontId="122" fillId="24" borderId="19" xfId="0" applyNumberFormat="1" applyFont="1" applyFill="1" applyBorder="1" applyAlignment="1">
      <alignment horizontal="right"/>
    </xf>
    <xf numFmtId="3" fontId="52" fillId="29" borderId="19" xfId="0" applyNumberFormat="1" applyFont="1" applyFill="1" applyBorder="1" applyAlignment="1">
      <alignment horizontal="right" vertical="center"/>
    </xf>
    <xf numFmtId="3" fontId="62" fillId="0" borderId="25" xfId="0" applyNumberFormat="1" applyFont="1" applyBorder="1" applyAlignment="1">
      <alignment horizontal="right" vertical="center"/>
    </xf>
    <xf numFmtId="0" fontId="45" fillId="0" borderId="50" xfId="0" applyFont="1" applyFill="1" applyBorder="1" applyAlignment="1">
      <alignment horizontal="center" vertical="center" wrapText="1"/>
    </xf>
    <xf numFmtId="3" fontId="46" fillId="0" borderId="10" xfId="67" applyNumberFormat="1" applyFont="1" applyFill="1" applyBorder="1" applyAlignment="1">
      <alignment vertical="center"/>
    </xf>
    <xf numFmtId="3" fontId="17" fillId="29" borderId="19" xfId="30" applyNumberFormat="1" applyFont="1" applyFill="1" applyBorder="1" applyAlignment="1">
      <alignment horizontal="right" vertical="center"/>
    </xf>
    <xf numFmtId="3" fontId="46" fillId="0" borderId="25" xfId="67" applyNumberFormat="1" applyFont="1" applyFill="1" applyBorder="1" applyAlignment="1">
      <alignment vertical="center"/>
    </xf>
    <xf numFmtId="3" fontId="17" fillId="24" borderId="19" xfId="30" applyNumberFormat="1" applyFont="1" applyFill="1" applyBorder="1" applyAlignment="1">
      <alignment horizontal="right" vertical="center"/>
    </xf>
    <xf numFmtId="0" fontId="125" fillId="0" borderId="25" xfId="59" applyFont="1" applyFill="1" applyBorder="1" applyAlignment="1">
      <alignment horizontal="left"/>
    </xf>
    <xf numFmtId="0" fontId="62" fillId="0" borderId="0" xfId="64" applyFont="1" applyBorder="1" applyAlignment="1">
      <alignment horizontal="right" vertical="center"/>
    </xf>
    <xf numFmtId="167" fontId="45" fillId="0" borderId="25" xfId="54" applyNumberFormat="1" applyFont="1" applyFill="1" applyBorder="1" applyAlignment="1">
      <alignment vertical="center"/>
    </xf>
    <xf numFmtId="3" fontId="45" fillId="0" borderId="25" xfId="54" applyNumberFormat="1" applyFont="1" applyBorder="1"/>
    <xf numFmtId="0" fontId="45" fillId="0" borderId="19" xfId="54" applyFont="1" applyFill="1" applyBorder="1" applyAlignment="1">
      <alignment horizontal="center" vertical="center" wrapText="1"/>
    </xf>
    <xf numFmtId="0" fontId="46" fillId="0" borderId="19" xfId="70" applyFont="1" applyBorder="1"/>
    <xf numFmtId="1" fontId="17" fillId="0" borderId="19" xfId="55" applyNumberFormat="1" applyFont="1" applyBorder="1"/>
    <xf numFmtId="169" fontId="17" fillId="0" borderId="19" xfId="55" applyNumberFormat="1" applyFont="1" applyBorder="1"/>
    <xf numFmtId="3" fontId="9" fillId="0" borderId="25" xfId="57" applyNumberFormat="1" applyFont="1" applyBorder="1" applyAlignment="1">
      <alignment vertical="center"/>
    </xf>
    <xf numFmtId="3" fontId="9" fillId="0" borderId="31" xfId="57" applyNumberFormat="1" applyFont="1" applyBorder="1" applyAlignment="1">
      <alignment horizontal="right" vertical="center" wrapText="1"/>
    </xf>
    <xf numFmtId="3" fontId="9" fillId="0" borderId="10" xfId="57" applyNumberFormat="1" applyFont="1" applyBorder="1" applyAlignment="1">
      <alignment horizontal="right" vertical="center"/>
    </xf>
    <xf numFmtId="3" fontId="65" fillId="0" borderId="10" xfId="57" applyNumberFormat="1" applyFont="1" applyBorder="1" applyAlignment="1">
      <alignment horizontal="right" vertical="center" wrapText="1"/>
    </xf>
    <xf numFmtId="3" fontId="9" fillId="0" borderId="19" xfId="57" applyNumberFormat="1" applyFont="1" applyBorder="1" applyAlignment="1">
      <alignment horizontal="right" vertical="center"/>
    </xf>
    <xf numFmtId="3" fontId="44" fillId="0" borderId="49" xfId="57" applyNumberFormat="1" applyFont="1" applyBorder="1" applyAlignment="1">
      <alignment horizontal="right" vertical="center" wrapText="1"/>
    </xf>
    <xf numFmtId="0" fontId="9" fillId="0" borderId="18" xfId="57" applyFont="1" applyBorder="1" applyAlignment="1">
      <alignment horizontal="center" vertical="center"/>
    </xf>
    <xf numFmtId="0" fontId="9" fillId="0" borderId="19" xfId="57" applyFont="1" applyBorder="1" applyAlignment="1">
      <alignment horizontal="center" vertical="center" wrapText="1"/>
    </xf>
    <xf numFmtId="0" fontId="9" fillId="0" borderId="19" xfId="57" applyFont="1" applyBorder="1" applyAlignment="1">
      <alignment horizontal="center" vertical="center"/>
    </xf>
    <xf numFmtId="0" fontId="9" fillId="0" borderId="17" xfId="57" applyFont="1" applyBorder="1" applyAlignment="1">
      <alignment horizontal="center" vertical="center" wrapText="1"/>
    </xf>
    <xf numFmtId="0" fontId="13" fillId="0" borderId="0" xfId="46" applyFont="1" applyAlignment="1">
      <alignment horizontal="right" wrapText="1"/>
    </xf>
    <xf numFmtId="0" fontId="14" fillId="0" borderId="0" xfId="46" applyFont="1" applyAlignment="1">
      <alignment horizontal="right"/>
    </xf>
    <xf numFmtId="3" fontId="14" fillId="0" borderId="51" xfId="63" applyNumberFormat="1" applyFont="1" applyFill="1" applyBorder="1" applyAlignment="1">
      <alignment horizontal="center" vertical="center" wrapText="1"/>
    </xf>
    <xf numFmtId="3" fontId="9" fillId="0" borderId="17" xfId="63" applyNumberFormat="1" applyFont="1" applyFill="1" applyBorder="1" applyAlignment="1">
      <alignment horizontal="center" vertical="center"/>
    </xf>
    <xf numFmtId="3" fontId="18" fillId="0" borderId="25" xfId="78" applyNumberFormat="1" applyFont="1" applyBorder="1" applyAlignment="1">
      <alignment horizontal="right"/>
    </xf>
    <xf numFmtId="3" fontId="18" fillId="0" borderId="10" xfId="78" applyNumberFormat="1" applyFont="1" applyBorder="1" applyAlignment="1">
      <alignment horizontal="right"/>
    </xf>
    <xf numFmtId="3" fontId="45" fillId="26" borderId="10" xfId="78" applyNumberFormat="1" applyFont="1" applyFill="1" applyBorder="1" applyAlignment="1">
      <alignment horizontal="right"/>
    </xf>
    <xf numFmtId="3" fontId="45" fillId="24" borderId="10" xfId="78" applyNumberFormat="1" applyFont="1" applyFill="1" applyBorder="1" applyAlignment="1">
      <alignment horizontal="right"/>
    </xf>
    <xf numFmtId="3" fontId="17" fillId="0" borderId="10" xfId="78" applyNumberFormat="1" applyFont="1" applyFill="1" applyBorder="1" applyAlignment="1">
      <alignment horizontal="right" vertical="center"/>
    </xf>
    <xf numFmtId="3" fontId="45" fillId="24" borderId="24" xfId="78" applyNumberFormat="1" applyFont="1" applyFill="1" applyBorder="1" applyAlignment="1">
      <alignment horizontal="right"/>
    </xf>
    <xf numFmtId="3" fontId="45" fillId="27" borderId="19" xfId="78" applyNumberFormat="1" applyFont="1" applyFill="1" applyBorder="1" applyAlignment="1">
      <alignment horizontal="right"/>
    </xf>
    <xf numFmtId="3" fontId="45" fillId="28" borderId="10" xfId="78" applyNumberFormat="1" applyFont="1" applyFill="1" applyBorder="1" applyAlignment="1">
      <alignment horizontal="right" vertical="center"/>
    </xf>
    <xf numFmtId="3" fontId="45" fillId="0" borderId="10" xfId="78" applyNumberFormat="1" applyFont="1" applyBorder="1" applyAlignment="1">
      <alignment horizontal="right"/>
    </xf>
    <xf numFmtId="0" fontId="13" fillId="0" borderId="19" xfId="78" applyFont="1" applyBorder="1" applyAlignment="1">
      <alignment horizontal="center" vertical="center" wrapText="1"/>
    </xf>
    <xf numFmtId="0" fontId="45" fillId="0" borderId="0" xfId="45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64" fillId="0" borderId="0" xfId="0" applyFont="1" applyAlignment="1"/>
    <xf numFmtId="0" fontId="0" fillId="0" borderId="0" xfId="0" applyAlignment="1"/>
    <xf numFmtId="0" fontId="45" fillId="0" borderId="0" xfId="45" applyFont="1" applyAlignment="1">
      <alignment horizontal="center"/>
    </xf>
    <xf numFmtId="0" fontId="18" fillId="0" borderId="0" xfId="0" applyFont="1" applyAlignme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45" applyFont="1" applyAlignment="1">
      <alignment horizontal="center" wrapText="1"/>
    </xf>
    <xf numFmtId="0" fontId="16" fillId="0" borderId="0" xfId="0" applyFont="1" applyAlignment="1">
      <alignment horizontal="center"/>
    </xf>
    <xf numFmtId="0" fontId="87" fillId="0" borderId="0" xfId="58" applyFont="1" applyBorder="1" applyAlignment="1">
      <alignment horizontal="center" wrapText="1"/>
    </xf>
    <xf numFmtId="3" fontId="88" fillId="0" borderId="0" xfId="49" applyNumberFormat="1" applyFont="1" applyBorder="1"/>
    <xf numFmtId="0" fontId="18" fillId="0" borderId="0" xfId="45" applyFont="1" applyAlignment="1">
      <alignment horizontal="right"/>
    </xf>
    <xf numFmtId="0" fontId="87" fillId="0" borderId="0" xfId="67" applyFont="1" applyBorder="1" applyAlignment="1">
      <alignment horizontal="center" vertical="center"/>
    </xf>
    <xf numFmtId="0" fontId="0" fillId="0" borderId="0" xfId="0" applyAlignment="1"/>
    <xf numFmtId="0" fontId="4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45" applyFont="1" applyAlignment="1">
      <alignment horizontal="center" wrapText="1"/>
    </xf>
    <xf numFmtId="0" fontId="62" fillId="0" borderId="0" xfId="67" applyFont="1" applyAlignment="1">
      <alignment horizontal="center"/>
    </xf>
    <xf numFmtId="0" fontId="97" fillId="0" borderId="10" xfId="67" applyFont="1" applyFill="1" applyBorder="1" applyAlignment="1">
      <alignment horizontal="center" vertical="center" wrapText="1"/>
    </xf>
    <xf numFmtId="0" fontId="97" fillId="0" borderId="10" xfId="67" applyFont="1" applyBorder="1" applyAlignment="1">
      <alignment horizontal="center" vertical="center" wrapText="1"/>
    </xf>
    <xf numFmtId="3" fontId="46" fillId="0" borderId="28" xfId="0" applyNumberFormat="1" applyFont="1" applyBorder="1" applyAlignment="1">
      <alignment horizontal="right"/>
    </xf>
    <xf numFmtId="3" fontId="17" fillId="0" borderId="28" xfId="0" applyNumberFormat="1" applyFont="1" applyBorder="1" applyAlignment="1">
      <alignment horizontal="right"/>
    </xf>
    <xf numFmtId="3" fontId="17" fillId="0" borderId="29" xfId="0" applyNumberFormat="1" applyFont="1" applyBorder="1" applyAlignment="1">
      <alignment horizontal="right"/>
    </xf>
    <xf numFmtId="3" fontId="46" fillId="0" borderId="29" xfId="0" applyNumberFormat="1" applyFont="1" applyBorder="1" applyAlignment="1">
      <alignment horizontal="right"/>
    </xf>
    <xf numFmtId="3" fontId="17" fillId="26" borderId="28" xfId="0" applyNumberFormat="1" applyFont="1" applyFill="1" applyBorder="1" applyAlignment="1">
      <alignment horizontal="right"/>
    </xf>
    <xf numFmtId="3" fontId="17" fillId="26" borderId="29" xfId="0" applyNumberFormat="1" applyFont="1" applyFill="1" applyBorder="1" applyAlignment="1">
      <alignment horizontal="right"/>
    </xf>
    <xf numFmtId="3" fontId="17" fillId="24" borderId="28" xfId="0" applyNumberFormat="1" applyFont="1" applyFill="1" applyBorder="1" applyAlignment="1">
      <alignment horizontal="right"/>
    </xf>
    <xf numFmtId="3" fontId="17" fillId="24" borderId="29" xfId="0" applyNumberFormat="1" applyFont="1" applyFill="1" applyBorder="1" applyAlignment="1">
      <alignment horizontal="right"/>
    </xf>
    <xf numFmtId="3" fontId="17" fillId="0" borderId="28" xfId="0" applyNumberFormat="1" applyFont="1" applyFill="1" applyBorder="1" applyAlignment="1">
      <alignment horizontal="right"/>
    </xf>
    <xf numFmtId="3" fontId="17" fillId="0" borderId="29" xfId="0" applyNumberFormat="1" applyFont="1" applyFill="1" applyBorder="1" applyAlignment="1">
      <alignment horizontal="right"/>
    </xf>
    <xf numFmtId="0" fontId="45" fillId="0" borderId="0" xfId="45" applyFont="1" applyAlignment="1">
      <alignment horizontal="center"/>
    </xf>
    <xf numFmtId="3" fontId="52" fillId="0" borderId="17" xfId="0" applyNumberFormat="1" applyFont="1" applyFill="1" applyBorder="1" applyAlignment="1">
      <alignment horizontal="right" vertical="center"/>
    </xf>
    <xf numFmtId="0" fontId="56" fillId="0" borderId="60" xfId="45" applyFont="1" applyBorder="1" applyAlignment="1">
      <alignment horizontal="center" vertical="center" wrapText="1"/>
    </xf>
    <xf numFmtId="3" fontId="52" fillId="29" borderId="17" xfId="0" applyNumberFormat="1" applyFont="1" applyFill="1" applyBorder="1" applyAlignment="1">
      <alignment horizontal="right" vertical="center"/>
    </xf>
    <xf numFmtId="3" fontId="62" fillId="0" borderId="29" xfId="0" applyNumberFormat="1" applyFont="1" applyBorder="1" applyAlignment="1">
      <alignment horizontal="right" vertical="center"/>
    </xf>
    <xf numFmtId="3" fontId="62" fillId="0" borderId="30" xfId="0" applyNumberFormat="1" applyFont="1" applyBorder="1" applyAlignment="1">
      <alignment horizontal="right" vertical="center"/>
    </xf>
    <xf numFmtId="3" fontId="52" fillId="24" borderId="17" xfId="0" applyNumberFormat="1" applyFont="1" applyFill="1" applyBorder="1" applyAlignment="1">
      <alignment horizontal="right" vertical="center"/>
    </xf>
    <xf numFmtId="0" fontId="9" fillId="0" borderId="18" xfId="67" applyFont="1" applyBorder="1" applyAlignment="1">
      <alignment horizontal="center" vertical="center"/>
    </xf>
    <xf numFmtId="168" fontId="16" fillId="0" borderId="17" xfId="67" applyNumberFormat="1" applyFont="1" applyBorder="1" applyAlignment="1">
      <alignment horizontal="center" vertical="center" wrapText="1"/>
    </xf>
    <xf numFmtId="168" fontId="16" fillId="0" borderId="0" xfId="67" applyNumberFormat="1" applyFont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left"/>
    </xf>
    <xf numFmtId="0" fontId="45" fillId="0" borderId="0" xfId="68" applyFont="1" applyBorder="1" applyAlignment="1">
      <alignment horizontal="center" wrapText="1"/>
    </xf>
    <xf numFmtId="0" fontId="9" fillId="0" borderId="10" xfId="45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0" xfId="45" applyFont="1" applyBorder="1" applyAlignment="1">
      <alignment horizontal="center" vertical="center" wrapText="1"/>
    </xf>
    <xf numFmtId="3" fontId="88" fillId="0" borderId="0" xfId="0" applyNumberFormat="1" applyFont="1" applyBorder="1" applyAlignment="1">
      <alignment horizontal="right" vertical="center"/>
    </xf>
    <xf numFmtId="3" fontId="88" fillId="0" borderId="0" xfId="0" applyNumberFormat="1" applyFont="1" applyFill="1" applyBorder="1" applyAlignment="1">
      <alignment horizontal="right" vertical="center"/>
    </xf>
    <xf numFmtId="3" fontId="52" fillId="0" borderId="0" xfId="0" applyNumberFormat="1" applyFont="1" applyFill="1" applyBorder="1" applyAlignment="1">
      <alignment horizontal="right" vertical="center"/>
    </xf>
    <xf numFmtId="0" fontId="45" fillId="28" borderId="0" xfId="0" applyFont="1" applyFill="1" applyBorder="1" applyAlignment="1">
      <alignment horizontal="left"/>
    </xf>
    <xf numFmtId="3" fontId="18" fillId="0" borderId="0" xfId="45" applyNumberFormat="1" applyFont="1" applyAlignment="1">
      <alignment horizontal="center"/>
    </xf>
    <xf numFmtId="3" fontId="18" fillId="0" borderId="0" xfId="0" applyNumberFormat="1" applyFont="1"/>
    <xf numFmtId="0" fontId="45" fillId="0" borderId="0" xfId="45" applyFont="1" applyFill="1" applyBorder="1" applyAlignment="1">
      <alignment horizontal="center" vertical="center" wrapText="1"/>
    </xf>
    <xf numFmtId="3" fontId="99" fillId="0" borderId="0" xfId="45" applyNumberFormat="1" applyFont="1" applyFill="1" applyBorder="1" applyAlignment="1">
      <alignment horizontal="right" vertical="center" wrapText="1"/>
    </xf>
    <xf numFmtId="0" fontId="52" fillId="0" borderId="18" xfId="67" applyFont="1" applyFill="1" applyBorder="1" applyAlignment="1">
      <alignment horizontal="center" vertical="center" wrapText="1"/>
    </xf>
    <xf numFmtId="1" fontId="88" fillId="0" borderId="0" xfId="0" applyNumberFormat="1" applyFont="1" applyFill="1" applyBorder="1" applyAlignment="1">
      <alignment horizontal="right" vertical="center"/>
    </xf>
    <xf numFmtId="3" fontId="62" fillId="0" borderId="31" xfId="0" applyNumberFormat="1" applyFont="1" applyFill="1" applyBorder="1" applyAlignment="1">
      <alignment horizontal="right" vertical="center"/>
    </xf>
    <xf numFmtId="0" fontId="54" fillId="0" borderId="34" xfId="0" applyFont="1" applyFill="1" applyBorder="1" applyAlignment="1">
      <alignment horizontal="left" vertical="center" wrapText="1"/>
    </xf>
    <xf numFmtId="0" fontId="59" fillId="0" borderId="0" xfId="45" applyFont="1"/>
    <xf numFmtId="3" fontId="126" fillId="0" borderId="10" xfId="0" applyNumberFormat="1" applyFont="1" applyFill="1" applyBorder="1" applyAlignment="1">
      <alignment horizontal="right"/>
    </xf>
    <xf numFmtId="0" fontId="51" fillId="0" borderId="0" xfId="0" applyFont="1" applyAlignment="1">
      <alignment horizontal="center" vertical="center"/>
    </xf>
    <xf numFmtId="0" fontId="62" fillId="0" borderId="28" xfId="67" applyFont="1" applyFill="1" applyBorder="1" applyAlignment="1">
      <alignment horizontal="center" vertical="center" wrapText="1"/>
    </xf>
    <xf numFmtId="0" fontId="62" fillId="29" borderId="28" xfId="67" applyFont="1" applyFill="1" applyBorder="1" applyAlignment="1">
      <alignment horizontal="center" vertical="center" wrapText="1"/>
    </xf>
    <xf numFmtId="0" fontId="62" fillId="29" borderId="32" xfId="67" applyFont="1" applyFill="1" applyBorder="1" applyAlignment="1">
      <alignment horizontal="center" vertical="center" wrapText="1"/>
    </xf>
    <xf numFmtId="0" fontId="62" fillId="24" borderId="18" xfId="67" applyFont="1" applyFill="1" applyBorder="1" applyAlignment="1">
      <alignment horizontal="center" vertical="center" wrapText="1"/>
    </xf>
    <xf numFmtId="0" fontId="103" fillId="0" borderId="10" xfId="67" applyFont="1" applyFill="1" applyBorder="1" applyAlignment="1">
      <alignment horizontal="left" vertical="center" wrapText="1"/>
    </xf>
    <xf numFmtId="0" fontId="104" fillId="29" borderId="10" xfId="0" applyFont="1" applyFill="1" applyBorder="1" applyAlignment="1">
      <alignment horizontal="left" vertical="center" wrapText="1"/>
    </xf>
    <xf numFmtId="0" fontId="104" fillId="29" borderId="24" xfId="0" applyFont="1" applyFill="1" applyBorder="1" applyAlignment="1">
      <alignment horizontal="left" vertical="center" wrapText="1"/>
    </xf>
    <xf numFmtId="0" fontId="104" fillId="24" borderId="19" xfId="0" applyFont="1" applyFill="1" applyBorder="1" applyAlignment="1">
      <alignment horizontal="left" vertical="center" wrapText="1"/>
    </xf>
    <xf numFmtId="3" fontId="45" fillId="0" borderId="0" xfId="45" applyNumberFormat="1" applyFont="1"/>
    <xf numFmtId="0" fontId="88" fillId="0" borderId="0" xfId="45" applyFont="1"/>
    <xf numFmtId="3" fontId="62" fillId="0" borderId="35" xfId="0" applyNumberFormat="1" applyFont="1" applyFill="1" applyBorder="1" applyAlignment="1">
      <alignment horizontal="right" vertical="center"/>
    </xf>
    <xf numFmtId="3" fontId="62" fillId="0" borderId="25" xfId="46" applyNumberFormat="1" applyFont="1" applyFill="1" applyBorder="1" applyAlignment="1">
      <alignment horizontal="right" vertical="center" wrapText="1"/>
    </xf>
    <xf numFmtId="3" fontId="87" fillId="0" borderId="10" xfId="0" applyNumberFormat="1" applyFont="1" applyBorder="1" applyAlignment="1">
      <alignment horizontal="right"/>
    </xf>
    <xf numFmtId="3" fontId="87" fillId="0" borderId="19" xfId="0" applyNumberFormat="1" applyFont="1" applyBorder="1" applyAlignment="1">
      <alignment horizontal="right"/>
    </xf>
    <xf numFmtId="3" fontId="88" fillId="0" borderId="25" xfId="0" applyNumberFormat="1" applyFont="1" applyBorder="1" applyAlignment="1">
      <alignment horizontal="right"/>
    </xf>
    <xf numFmtId="0" fontId="99" fillId="0" borderId="0" xfId="0" applyFont="1" applyAlignment="1">
      <alignment horizontal="center"/>
    </xf>
    <xf numFmtId="0" fontId="0" fillId="0" borderId="0" xfId="0" applyAlignment="1"/>
    <xf numFmtId="3" fontId="110" fillId="0" borderId="0" xfId="54" applyNumberFormat="1"/>
    <xf numFmtId="3" fontId="61" fillId="0" borderId="0" xfId="45" applyNumberFormat="1" applyFont="1"/>
    <xf numFmtId="0" fontId="16" fillId="0" borderId="0" xfId="0" applyFont="1"/>
    <xf numFmtId="3" fontId="65" fillId="0" borderId="0" xfId="76" applyNumberFormat="1" applyFont="1" applyBorder="1" applyAlignment="1">
      <alignment horizontal="right" vertical="center"/>
    </xf>
    <xf numFmtId="3" fontId="9" fillId="31" borderId="0" xfId="76" applyNumberFormat="1" applyFont="1" applyFill="1" applyBorder="1" applyAlignment="1">
      <alignment horizontal="right" vertical="center"/>
    </xf>
    <xf numFmtId="0" fontId="10" fillId="0" borderId="0" xfId="76" applyFont="1" applyBorder="1" applyAlignment="1">
      <alignment horizontal="center" vertical="justify"/>
    </xf>
    <xf numFmtId="3" fontId="14" fillId="0" borderId="0" xfId="76" applyNumberFormat="1" applyFont="1" applyFill="1" applyBorder="1" applyAlignment="1">
      <alignment horizontal="right" vertical="center"/>
    </xf>
    <xf numFmtId="3" fontId="9" fillId="0" borderId="0" xfId="76" applyNumberFormat="1" applyFont="1" applyFill="1" applyBorder="1" applyAlignment="1">
      <alignment horizontal="right" vertical="center"/>
    </xf>
    <xf numFmtId="0" fontId="14" fillId="0" borderId="42" xfId="76" applyFont="1" applyBorder="1" applyAlignment="1">
      <alignment horizontal="center" vertical="center" wrapText="1"/>
    </xf>
    <xf numFmtId="0" fontId="131" fillId="0" borderId="0" xfId="76" applyFont="1"/>
    <xf numFmtId="3" fontId="46" fillId="0" borderId="29" xfId="0" applyNumberFormat="1" applyFont="1" applyFill="1" applyBorder="1" applyAlignment="1">
      <alignment horizontal="right"/>
    </xf>
    <xf numFmtId="0" fontId="18" fillId="0" borderId="0" xfId="0" applyFont="1" applyFill="1"/>
    <xf numFmtId="0" fontId="118" fillId="0" borderId="0" xfId="0" applyFont="1" applyAlignment="1">
      <alignment horizontal="center"/>
    </xf>
    <xf numFmtId="0" fontId="132" fillId="0" borderId="0" xfId="0" applyFont="1" applyAlignment="1"/>
    <xf numFmtId="0" fontId="131" fillId="0" borderId="0" xfId="0" applyFont="1"/>
    <xf numFmtId="3" fontId="13" fillId="0" borderId="44" xfId="45" applyNumberFormat="1" applyFont="1" applyFill="1" applyBorder="1"/>
    <xf numFmtId="9" fontId="15" fillId="0" borderId="0" xfId="45" applyNumberFormat="1" applyFont="1"/>
    <xf numFmtId="3" fontId="103" fillId="0" borderId="24" xfId="45" applyNumberFormat="1" applyFont="1" applyFill="1" applyBorder="1"/>
    <xf numFmtId="3" fontId="133" fillId="0" borderId="19" xfId="45" applyNumberFormat="1" applyFont="1" applyBorder="1"/>
    <xf numFmtId="3" fontId="15" fillId="0" borderId="0" xfId="0" applyNumberFormat="1" applyFont="1"/>
    <xf numFmtId="0" fontId="46" fillId="0" borderId="34" xfId="0" applyFont="1" applyFill="1" applyBorder="1" applyAlignment="1">
      <alignment horizontal="left" vertical="center" wrapText="1"/>
    </xf>
    <xf numFmtId="0" fontId="52" fillId="0" borderId="10" xfId="46" applyFont="1" applyBorder="1" applyAlignment="1">
      <alignment horizontal="center" vertical="center" wrapText="1" shrinkToFit="1"/>
    </xf>
    <xf numFmtId="0" fontId="75" fillId="0" borderId="0" xfId="58" applyFont="1" applyBorder="1" applyAlignment="1">
      <alignment vertical="center"/>
    </xf>
    <xf numFmtId="0" fontId="62" fillId="0" borderId="0" xfId="58" applyFont="1" applyBorder="1" applyAlignment="1">
      <alignment vertical="center"/>
    </xf>
    <xf numFmtId="0" fontId="51" fillId="0" borderId="0" xfId="58" applyFont="1" applyBorder="1" applyAlignment="1">
      <alignment vertical="center"/>
    </xf>
    <xf numFmtId="0" fontId="8" fillId="0" borderId="0" xfId="58" applyBorder="1" applyAlignment="1">
      <alignment vertical="center"/>
    </xf>
    <xf numFmtId="0" fontId="8" fillId="0" borderId="0" xfId="58" applyAlignment="1">
      <alignment vertical="center"/>
    </xf>
    <xf numFmtId="0" fontId="87" fillId="0" borderId="0" xfId="58" applyFont="1" applyBorder="1" applyAlignment="1">
      <alignment vertical="center" wrapText="1"/>
    </xf>
    <xf numFmtId="0" fontId="52" fillId="0" borderId="10" xfId="46" applyFont="1" applyBorder="1" applyAlignment="1">
      <alignment horizontal="center" vertical="center" wrapText="1"/>
    </xf>
    <xf numFmtId="0" fontId="62" fillId="0" borderId="0" xfId="46" applyFont="1" applyAlignment="1">
      <alignment horizontal="right" vertical="center"/>
    </xf>
    <xf numFmtId="0" fontId="48" fillId="0" borderId="0" xfId="58" applyFont="1" applyBorder="1" applyAlignment="1">
      <alignment horizontal="right" vertical="center"/>
    </xf>
    <xf numFmtId="0" fontId="118" fillId="0" borderId="0" xfId="45" applyFont="1" applyAlignment="1">
      <alignment horizontal="center"/>
    </xf>
    <xf numFmtId="0" fontId="115" fillId="0" borderId="0" xfId="45" applyFont="1"/>
    <xf numFmtId="3" fontId="115" fillId="0" borderId="0" xfId="45" applyNumberFormat="1" applyFont="1"/>
    <xf numFmtId="0" fontId="134" fillId="0" borderId="0" xfId="0" applyFont="1" applyAlignment="1"/>
    <xf numFmtId="3" fontId="9" fillId="0" borderId="10" xfId="76" applyNumberFormat="1" applyFont="1" applyBorder="1" applyAlignment="1">
      <alignment horizontal="right" vertical="center"/>
    </xf>
    <xf numFmtId="3" fontId="14" fillId="0" borderId="10" xfId="76" applyNumberFormat="1" applyFont="1" applyBorder="1" applyAlignment="1">
      <alignment horizontal="right" vertical="center"/>
    </xf>
    <xf numFmtId="3" fontId="65" fillId="0" borderId="10" xfId="76" applyNumberFormat="1" applyFont="1" applyBorder="1" applyAlignment="1">
      <alignment horizontal="right" vertical="center"/>
    </xf>
    <xf numFmtId="3" fontId="14" fillId="0" borderId="10" xfId="76" applyNumberFormat="1" applyFont="1" applyFill="1" applyBorder="1" applyAlignment="1">
      <alignment horizontal="right" vertical="center"/>
    </xf>
    <xf numFmtId="0" fontId="18" fillId="0" borderId="0" xfId="45" applyFont="1" applyAlignment="1">
      <alignment horizontal="right" wrapText="1"/>
    </xf>
    <xf numFmtId="3" fontId="11" fillId="0" borderId="0" xfId="0" applyNumberFormat="1" applyFont="1" applyFill="1" applyBorder="1" applyAlignment="1">
      <alignment horizontal="left" vertical="center"/>
    </xf>
    <xf numFmtId="3" fontId="52" fillId="0" borderId="25" xfId="46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62" fillId="0" borderId="0" xfId="46" applyFont="1" applyFill="1" applyAlignment="1">
      <alignment vertical="center"/>
    </xf>
    <xf numFmtId="0" fontId="62" fillId="0" borderId="0" xfId="46" applyFont="1" applyAlignment="1">
      <alignment horizontal="center" vertical="center"/>
    </xf>
    <xf numFmtId="3" fontId="52" fillId="0" borderId="0" xfId="46" applyNumberFormat="1" applyFont="1" applyFill="1" applyAlignment="1">
      <alignment horizontal="center" vertical="center"/>
    </xf>
    <xf numFmtId="3" fontId="62" fillId="0" borderId="0" xfId="46" applyNumberFormat="1" applyFont="1" applyAlignment="1">
      <alignment horizontal="right" vertical="center"/>
    </xf>
    <xf numFmtId="0" fontId="62" fillId="33" borderId="0" xfId="46" applyFont="1" applyFill="1"/>
    <xf numFmtId="0" fontId="102" fillId="33" borderId="0" xfId="0" applyFont="1" applyFill="1"/>
    <xf numFmtId="0" fontId="62" fillId="33" borderId="0" xfId="0" applyFont="1" applyFill="1"/>
    <xf numFmtId="0" fontId="52" fillId="29" borderId="36" xfId="46" applyFont="1" applyFill="1" applyBorder="1" applyAlignment="1">
      <alignment vertical="center"/>
    </xf>
    <xf numFmtId="0" fontId="52" fillId="29" borderId="37" xfId="46" applyFont="1" applyFill="1" applyBorder="1" applyAlignment="1">
      <alignment horizontal="center" vertical="center"/>
    </xf>
    <xf numFmtId="3" fontId="52" fillId="29" borderId="37" xfId="46" applyNumberFormat="1" applyFont="1" applyFill="1" applyBorder="1" applyAlignment="1">
      <alignment horizontal="center" vertical="center"/>
    </xf>
    <xf numFmtId="0" fontId="52" fillId="29" borderId="38" xfId="46" applyFont="1" applyFill="1" applyBorder="1" applyAlignment="1">
      <alignment horizontal="justify" vertical="center"/>
    </xf>
    <xf numFmtId="0" fontId="62" fillId="29" borderId="38" xfId="46" applyFont="1" applyFill="1" applyBorder="1" applyAlignment="1">
      <alignment horizontal="justify" vertical="center"/>
    </xf>
    <xf numFmtId="0" fontId="87" fillId="0" borderId="18" xfId="46" applyFont="1" applyFill="1" applyBorder="1" applyAlignment="1">
      <alignment vertical="center" wrapText="1"/>
    </xf>
    <xf numFmtId="0" fontId="62" fillId="0" borderId="27" xfId="46" applyFont="1" applyFill="1" applyBorder="1" applyAlignment="1">
      <alignment vertical="center"/>
    </xf>
    <xf numFmtId="0" fontId="62" fillId="0" borderId="25" xfId="46" applyFont="1" applyFill="1" applyBorder="1" applyAlignment="1">
      <alignment horizontal="center" vertical="center" wrapText="1"/>
    </xf>
    <xf numFmtId="3" fontId="62" fillId="0" borderId="25" xfId="46" applyNumberFormat="1" applyFont="1" applyBorder="1" applyAlignment="1">
      <alignment horizontal="center" vertical="center" wrapText="1"/>
    </xf>
    <xf numFmtId="0" fontId="62" fillId="0" borderId="31" xfId="46" applyFont="1" applyFill="1" applyBorder="1" applyAlignment="1">
      <alignment horizontal="justify" vertical="center" wrapText="1"/>
    </xf>
    <xf numFmtId="0" fontId="88" fillId="0" borderId="28" xfId="46" applyFont="1" applyFill="1" applyBorder="1" applyAlignment="1">
      <alignment vertical="center" wrapText="1"/>
    </xf>
    <xf numFmtId="0" fontId="62" fillId="0" borderId="10" xfId="46" applyFont="1" applyFill="1" applyBorder="1" applyAlignment="1">
      <alignment horizontal="center" vertical="center" wrapText="1"/>
    </xf>
    <xf numFmtId="3" fontId="62" fillId="0" borderId="10" xfId="46" applyNumberFormat="1" applyFont="1" applyBorder="1" applyAlignment="1">
      <alignment horizontal="center" vertical="center" wrapText="1"/>
    </xf>
    <xf numFmtId="0" fontId="62" fillId="0" borderId="29" xfId="46" applyFont="1" applyFill="1" applyBorder="1" applyAlignment="1">
      <alignment horizontal="justify" vertical="center" wrapText="1"/>
    </xf>
    <xf numFmtId="0" fontId="62" fillId="0" borderId="32" xfId="46" applyFont="1" applyFill="1" applyBorder="1" applyAlignment="1">
      <alignment vertical="center"/>
    </xf>
    <xf numFmtId="0" fontId="62" fillId="0" borderId="24" xfId="46" applyFont="1" applyFill="1" applyBorder="1" applyAlignment="1">
      <alignment horizontal="center" vertical="center"/>
    </xf>
    <xf numFmtId="3" fontId="62" fillId="0" borderId="24" xfId="46" applyNumberFormat="1" applyFont="1" applyFill="1" applyBorder="1" applyAlignment="1">
      <alignment horizontal="center" vertical="center"/>
    </xf>
    <xf numFmtId="0" fontId="62" fillId="0" borderId="30" xfId="46" applyFont="1" applyFill="1" applyBorder="1" applyAlignment="1">
      <alignment horizontal="justify" vertical="center" wrapText="1"/>
    </xf>
    <xf numFmtId="0" fontId="52" fillId="0" borderId="36" xfId="46" applyFont="1" applyFill="1" applyBorder="1" applyAlignment="1">
      <alignment vertical="center"/>
    </xf>
    <xf numFmtId="0" fontId="62" fillId="0" borderId="37" xfId="46" applyFont="1" applyFill="1" applyBorder="1" applyAlignment="1">
      <alignment horizontal="center" vertical="center"/>
    </xf>
    <xf numFmtId="3" fontId="62" fillId="0" borderId="37" xfId="46" applyNumberFormat="1" applyFont="1" applyFill="1" applyBorder="1" applyAlignment="1">
      <alignment horizontal="center" vertical="center"/>
    </xf>
    <xf numFmtId="0" fontId="52" fillId="0" borderId="38" xfId="46" applyFont="1" applyFill="1" applyBorder="1" applyAlignment="1">
      <alignment horizontal="justify" vertical="center"/>
    </xf>
    <xf numFmtId="0" fontId="62" fillId="0" borderId="0" xfId="46" applyFont="1" applyFill="1" applyBorder="1" applyAlignment="1">
      <alignment vertical="center"/>
    </xf>
    <xf numFmtId="0" fontId="62" fillId="0" borderId="0" xfId="46" applyFont="1" applyBorder="1" applyAlignment="1">
      <alignment horizontal="center" vertical="center"/>
    </xf>
    <xf numFmtId="3" fontId="62" fillId="0" borderId="0" xfId="46" applyNumberFormat="1" applyFont="1" applyBorder="1" applyAlignment="1">
      <alignment horizontal="right" vertical="center"/>
    </xf>
    <xf numFmtId="0" fontId="62" fillId="0" borderId="0" xfId="46" applyFont="1" applyBorder="1" applyAlignment="1">
      <alignment horizontal="justify" vertical="center"/>
    </xf>
    <xf numFmtId="0" fontId="52" fillId="0" borderId="0" xfId="46" applyFont="1" applyFill="1" applyAlignment="1">
      <alignment vertical="center"/>
    </xf>
    <xf numFmtId="0" fontId="62" fillId="0" borderId="0" xfId="46" applyFont="1" applyAlignment="1">
      <alignment horizontal="justify" vertical="center"/>
    </xf>
    <xf numFmtId="3" fontId="72" fillId="0" borderId="0" xfId="57" applyNumberFormat="1" applyFont="1" applyBorder="1" applyAlignment="1">
      <alignment vertical="center"/>
    </xf>
    <xf numFmtId="3" fontId="76" fillId="0" borderId="10" xfId="0" applyNumberFormat="1" applyFont="1" applyFill="1" applyBorder="1" applyAlignment="1">
      <alignment horizontal="right"/>
    </xf>
    <xf numFmtId="0" fontId="76" fillId="0" borderId="28" xfId="86" applyFont="1" applyFill="1" applyBorder="1" applyAlignment="1">
      <alignment horizontal="left" vertical="center"/>
    </xf>
    <xf numFmtId="0" fontId="76" fillId="0" borderId="10" xfId="86" applyFont="1" applyFill="1" applyBorder="1" applyAlignment="1">
      <alignment horizontal="left" vertical="center" wrapText="1"/>
    </xf>
    <xf numFmtId="3" fontId="46" fillId="0" borderId="28" xfId="45" applyNumberFormat="1" applyFont="1" applyBorder="1"/>
    <xf numFmtId="3" fontId="46" fillId="0" borderId="29" xfId="45" applyNumberFormat="1" applyFont="1" applyBorder="1"/>
    <xf numFmtId="3" fontId="17" fillId="26" borderId="28" xfId="45" applyNumberFormat="1" applyFont="1" applyFill="1" applyBorder="1"/>
    <xf numFmtId="3" fontId="17" fillId="26" borderId="29" xfId="45" applyNumberFormat="1" applyFont="1" applyFill="1" applyBorder="1"/>
    <xf numFmtId="0" fontId="46" fillId="0" borderId="10" xfId="45" applyFont="1" applyBorder="1"/>
    <xf numFmtId="3" fontId="17" fillId="24" borderId="28" xfId="0" applyNumberFormat="1" applyFont="1" applyFill="1" applyBorder="1"/>
    <xf numFmtId="3" fontId="17" fillId="24" borderId="29" xfId="0" applyNumberFormat="1" applyFont="1" applyFill="1" applyBorder="1"/>
    <xf numFmtId="3" fontId="17" fillId="28" borderId="28" xfId="0" applyNumberFormat="1" applyFont="1" applyFill="1" applyBorder="1"/>
    <xf numFmtId="3" fontId="17" fillId="28" borderId="29" xfId="0" applyNumberFormat="1" applyFont="1" applyFill="1" applyBorder="1"/>
    <xf numFmtId="3" fontId="17" fillId="0" borderId="28" xfId="45" applyNumberFormat="1" applyFont="1" applyBorder="1"/>
    <xf numFmtId="3" fontId="17" fillId="0" borderId="29" xfId="45" applyNumberFormat="1" applyFont="1" applyBorder="1"/>
    <xf numFmtId="167" fontId="46" fillId="0" borderId="28" xfId="0" applyNumberFormat="1" applyFont="1" applyFill="1" applyBorder="1" applyAlignment="1">
      <alignment vertical="center"/>
    </xf>
    <xf numFmtId="167" fontId="17" fillId="0" borderId="28" xfId="0" applyNumberFormat="1" applyFont="1" applyFill="1" applyBorder="1" applyAlignment="1">
      <alignment vertical="center"/>
    </xf>
    <xf numFmtId="0" fontId="17" fillId="0" borderId="10" xfId="0" applyFont="1" applyFill="1" applyBorder="1" applyAlignment="1">
      <alignment vertical="center" wrapText="1"/>
    </xf>
    <xf numFmtId="0" fontId="17" fillId="26" borderId="28" xfId="45" applyFont="1" applyFill="1" applyBorder="1" applyAlignment="1">
      <alignment horizontal="left" vertical="center" wrapText="1"/>
    </xf>
    <xf numFmtId="167" fontId="17" fillId="26" borderId="28" xfId="0" applyNumberFormat="1" applyFont="1" applyFill="1" applyBorder="1" applyAlignment="1">
      <alignment vertical="center"/>
    </xf>
    <xf numFmtId="0" fontId="17" fillId="0" borderId="28" xfId="0" applyFont="1" applyFill="1" applyBorder="1" applyAlignment="1">
      <alignment horizontal="left" vertical="center" wrapText="1"/>
    </xf>
    <xf numFmtId="0" fontId="17" fillId="0" borderId="28" xfId="45" applyFont="1" applyFill="1" applyBorder="1" applyAlignment="1">
      <alignment horizontal="left" vertical="center"/>
    </xf>
    <xf numFmtId="0" fontId="95" fillId="0" borderId="28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/>
    </xf>
    <xf numFmtId="0" fontId="46" fillId="0" borderId="28" xfId="0" applyFont="1" applyFill="1" applyBorder="1" applyAlignment="1">
      <alignment horizontal="left" vertical="center"/>
    </xf>
    <xf numFmtId="0" fontId="17" fillId="26" borderId="28" xfId="45" applyFont="1" applyFill="1" applyBorder="1" applyAlignment="1">
      <alignment horizontal="left" vertical="center"/>
    </xf>
    <xf numFmtId="0" fontId="17" fillId="24" borderId="28" xfId="0" applyFont="1" applyFill="1" applyBorder="1" applyAlignment="1">
      <alignment horizontal="left" vertical="center"/>
    </xf>
    <xf numFmtId="0" fontId="17" fillId="28" borderId="28" xfId="0" applyFont="1" applyFill="1" applyBorder="1" applyAlignment="1">
      <alignment horizontal="left" vertical="center"/>
    </xf>
    <xf numFmtId="0" fontId="46" fillId="0" borderId="28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9" fillId="0" borderId="47" xfId="49" applyFont="1" applyFill="1" applyBorder="1" applyAlignment="1">
      <alignment horizontal="center" vertical="center" wrapText="1"/>
    </xf>
    <xf numFmtId="0" fontId="17" fillId="0" borderId="44" xfId="49" applyFont="1" applyFill="1" applyBorder="1" applyAlignment="1">
      <alignment horizontal="center" vertical="center"/>
    </xf>
    <xf numFmtId="0" fontId="17" fillId="0" borderId="44" xfId="49" applyFont="1" applyBorder="1" applyAlignment="1">
      <alignment horizontal="center" vertical="center" wrapText="1"/>
    </xf>
    <xf numFmtId="0" fontId="46" fillId="0" borderId="28" xfId="49" applyFont="1" applyFill="1" applyBorder="1" applyAlignment="1">
      <alignment horizontal="left" vertical="center"/>
    </xf>
    <xf numFmtId="3" fontId="98" fillId="0" borderId="10" xfId="49" applyNumberFormat="1" applyFont="1" applyBorder="1"/>
    <xf numFmtId="0" fontId="98" fillId="0" borderId="10" xfId="49" applyFont="1" applyBorder="1"/>
    <xf numFmtId="0" fontId="17" fillId="29" borderId="28" xfId="49" applyFont="1" applyFill="1" applyBorder="1" applyAlignment="1">
      <alignment horizontal="left" vertical="center"/>
    </xf>
    <xf numFmtId="3" fontId="99" fillId="29" borderId="10" xfId="49" applyNumberFormat="1" applyFont="1" applyFill="1" applyBorder="1"/>
    <xf numFmtId="0" fontId="17" fillId="0" borderId="28" xfId="49" applyFont="1" applyFill="1" applyBorder="1" applyAlignment="1">
      <alignment horizontal="left" vertical="center"/>
    </xf>
    <xf numFmtId="3" fontId="98" fillId="0" borderId="10" xfId="49" applyNumberFormat="1" applyFont="1" applyFill="1" applyBorder="1"/>
    <xf numFmtId="3" fontId="135" fillId="0" borderId="10" xfId="49" applyNumberFormat="1" applyFont="1" applyFill="1" applyBorder="1"/>
    <xf numFmtId="0" fontId="9" fillId="0" borderId="0" xfId="76" applyFont="1" applyAlignment="1">
      <alignment horizontal="center" vertical="center"/>
    </xf>
    <xf numFmtId="0" fontId="58" fillId="0" borderId="0" xfId="76" applyFont="1" applyAlignment="1">
      <alignment horizontal="center" vertical="center"/>
    </xf>
    <xf numFmtId="0" fontId="51" fillId="0" borderId="0" xfId="76" applyFont="1"/>
    <xf numFmtId="0" fontId="17" fillId="0" borderId="11" xfId="76" applyFont="1" applyFill="1" applyBorder="1" applyAlignment="1">
      <alignment horizontal="center" vertical="center" wrapText="1"/>
    </xf>
    <xf numFmtId="3" fontId="17" fillId="0" borderId="19" xfId="76" applyNumberFormat="1" applyFont="1" applyFill="1" applyBorder="1" applyAlignment="1">
      <alignment horizontal="center" vertical="center" wrapText="1"/>
    </xf>
    <xf numFmtId="3" fontId="9" fillId="0" borderId="24" xfId="76" applyNumberFormat="1" applyFont="1" applyBorder="1" applyAlignment="1">
      <alignment horizontal="right" vertical="center"/>
    </xf>
    <xf numFmtId="3" fontId="14" fillId="0" borderId="24" xfId="76" applyNumberFormat="1" applyFont="1" applyFill="1" applyBorder="1" applyAlignment="1">
      <alignment horizontal="right" vertical="center"/>
    </xf>
    <xf numFmtId="3" fontId="9" fillId="0" borderId="24" xfId="76" applyNumberFormat="1" applyFont="1" applyFill="1" applyBorder="1" applyAlignment="1">
      <alignment horizontal="right" vertical="center"/>
    </xf>
    <xf numFmtId="3" fontId="9" fillId="32" borderId="17" xfId="76" applyNumberFormat="1" applyFont="1" applyFill="1" applyBorder="1" applyAlignment="1">
      <alignment horizontal="right"/>
    </xf>
    <xf numFmtId="0" fontId="53" fillId="0" borderId="19" xfId="45" applyFont="1" applyFill="1" applyBorder="1" applyAlignment="1">
      <alignment horizontal="center" vertical="center"/>
    </xf>
    <xf numFmtId="0" fontId="53" fillId="0" borderId="19" xfId="45" applyFont="1" applyBorder="1" applyAlignment="1">
      <alignment horizontal="center" vertical="center" wrapText="1"/>
    </xf>
    <xf numFmtId="3" fontId="103" fillId="0" borderId="25" xfId="45" applyNumberFormat="1" applyFont="1" applyBorder="1"/>
    <xf numFmtId="0" fontId="95" fillId="0" borderId="19" xfId="0" applyFont="1" applyFill="1" applyBorder="1" applyAlignment="1">
      <alignment horizontal="left" vertical="center" wrapText="1"/>
    </xf>
    <xf numFmtId="3" fontId="137" fillId="0" borderId="19" xfId="45" applyNumberFormat="1" applyFont="1" applyBorder="1"/>
    <xf numFmtId="0" fontId="46" fillId="0" borderId="10" xfId="45" applyFont="1" applyFill="1" applyBorder="1" applyAlignment="1">
      <alignment horizontal="left" vertical="center" wrapText="1"/>
    </xf>
    <xf numFmtId="3" fontId="133" fillId="0" borderId="10" xfId="45" applyNumberFormat="1" applyFont="1" applyFill="1" applyBorder="1"/>
    <xf numFmtId="3" fontId="103" fillId="0" borderId="10" xfId="45" applyNumberFormat="1" applyFont="1" applyBorder="1"/>
    <xf numFmtId="0" fontId="46" fillId="0" borderId="24" xfId="0" applyFont="1" applyFill="1" applyBorder="1" applyAlignment="1">
      <alignment horizontal="left" vertical="center" wrapText="1"/>
    </xf>
    <xf numFmtId="0" fontId="17" fillId="24" borderId="19" xfId="0" applyFont="1" applyFill="1" applyBorder="1" applyAlignment="1">
      <alignment horizontal="left" vertical="center" wrapText="1"/>
    </xf>
    <xf numFmtId="3" fontId="104" fillId="24" borderId="19" xfId="45" applyNumberFormat="1" applyFont="1" applyFill="1" applyBorder="1"/>
    <xf numFmtId="3" fontId="103" fillId="0" borderId="34" xfId="45" applyNumberFormat="1" applyFont="1" applyBorder="1"/>
    <xf numFmtId="3" fontId="133" fillId="0" borderId="19" xfId="45" applyNumberFormat="1" applyFont="1" applyFill="1" applyBorder="1"/>
    <xf numFmtId="0" fontId="46" fillId="0" borderId="19" xfId="0" applyFont="1" applyFill="1" applyBorder="1" applyAlignment="1">
      <alignment horizontal="left" vertical="center" wrapText="1"/>
    </xf>
    <xf numFmtId="0" fontId="46" fillId="0" borderId="25" xfId="45" applyFont="1" applyBorder="1"/>
    <xf numFmtId="0" fontId="46" fillId="0" borderId="34" xfId="45" applyFont="1" applyBorder="1"/>
    <xf numFmtId="0" fontId="46" fillId="0" borderId="44" xfId="0" applyFont="1" applyFill="1" applyBorder="1" applyAlignment="1">
      <alignment horizontal="left" vertical="center" wrapText="1"/>
    </xf>
    <xf numFmtId="3" fontId="103" fillId="0" borderId="19" xfId="45" applyNumberFormat="1" applyFont="1" applyBorder="1"/>
    <xf numFmtId="3" fontId="62" fillId="0" borderId="10" xfId="0" applyNumberFormat="1" applyFont="1" applyFill="1" applyBorder="1" applyAlignment="1">
      <alignment horizontal="right" vertical="center"/>
    </xf>
    <xf numFmtId="49" fontId="9" fillId="0" borderId="47" xfId="0" applyNumberFormat="1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44" xfId="45" applyFont="1" applyBorder="1" applyAlignment="1">
      <alignment horizontal="center" vertical="center" wrapText="1"/>
    </xf>
    <xf numFmtId="0" fontId="9" fillId="0" borderId="51" xfId="45" applyFont="1" applyBorder="1" applyAlignment="1">
      <alignment horizontal="center" vertical="center" wrapText="1"/>
    </xf>
    <xf numFmtId="3" fontId="103" fillId="0" borderId="10" xfId="45" applyNumberFormat="1" applyFont="1" applyBorder="1" applyAlignment="1">
      <alignment horizontal="right" vertical="center" wrapText="1"/>
    </xf>
    <xf numFmtId="3" fontId="103" fillId="0" borderId="29" xfId="45" applyNumberFormat="1" applyFont="1" applyBorder="1" applyAlignment="1">
      <alignment horizontal="right" vertical="center" wrapText="1"/>
    </xf>
    <xf numFmtId="3" fontId="103" fillId="0" borderId="29" xfId="0" applyNumberFormat="1" applyFont="1" applyBorder="1" applyAlignment="1">
      <alignment horizontal="right" vertical="center"/>
    </xf>
    <xf numFmtId="3" fontId="103" fillId="0" borderId="29" xfId="0" applyNumberFormat="1" applyFont="1" applyFill="1" applyBorder="1" applyAlignment="1">
      <alignment horizontal="right" vertical="center"/>
    </xf>
    <xf numFmtId="0" fontId="60" fillId="0" borderId="19" xfId="0" applyFont="1" applyFill="1" applyBorder="1" applyAlignment="1">
      <alignment horizontal="center" vertical="center" wrapText="1"/>
    </xf>
    <xf numFmtId="0" fontId="60" fillId="0" borderId="19" xfId="45" applyFont="1" applyBorder="1" applyAlignment="1">
      <alignment horizontal="center" vertical="center" wrapText="1"/>
    </xf>
    <xf numFmtId="167" fontId="44" fillId="29" borderId="19" xfId="0" applyNumberFormat="1" applyFont="1" applyFill="1" applyBorder="1" applyAlignment="1">
      <alignment vertical="center"/>
    </xf>
    <xf numFmtId="167" fontId="14" fillId="0" borderId="15" xfId="0" applyNumberFormat="1" applyFont="1" applyFill="1" applyBorder="1" applyAlignment="1">
      <alignment vertical="center"/>
    </xf>
    <xf numFmtId="0" fontId="14" fillId="0" borderId="44" xfId="62" applyFont="1" applyBorder="1" applyAlignment="1">
      <alignment horizontal="left" vertical="center" wrapText="1"/>
    </xf>
    <xf numFmtId="167" fontId="14" fillId="0" borderId="16" xfId="0" applyNumberFormat="1" applyFont="1" applyFill="1" applyBorder="1" applyAlignment="1">
      <alignment vertical="center"/>
    </xf>
    <xf numFmtId="0" fontId="14" fillId="0" borderId="10" xfId="62" applyFont="1" applyBorder="1" applyAlignment="1">
      <alignment horizontal="justify" vertical="center"/>
    </xf>
    <xf numFmtId="0" fontId="14" fillId="0" borderId="24" xfId="62" applyFont="1" applyBorder="1" applyAlignment="1">
      <alignment horizontal="justify" vertical="center"/>
    </xf>
    <xf numFmtId="167" fontId="44" fillId="24" borderId="19" xfId="0" applyNumberFormat="1" applyFont="1" applyFill="1" applyBorder="1" applyAlignment="1">
      <alignment vertical="center"/>
    </xf>
    <xf numFmtId="0" fontId="46" fillId="0" borderId="0" xfId="45" applyFont="1" applyAlignment="1">
      <alignment horizontal="center" wrapText="1"/>
    </xf>
    <xf numFmtId="0" fontId="62" fillId="0" borderId="0" xfId="0" applyFont="1" applyAlignment="1">
      <alignment horizontal="right"/>
    </xf>
    <xf numFmtId="1" fontId="14" fillId="0" borderId="28" xfId="67" applyNumberFormat="1" applyFont="1" applyFill="1" applyBorder="1" applyAlignment="1">
      <alignment horizontal="center" vertical="center"/>
    </xf>
    <xf numFmtId="0" fontId="14" fillId="0" borderId="0" xfId="58" applyFont="1" applyBorder="1"/>
    <xf numFmtId="0" fontId="14" fillId="0" borderId="0" xfId="58" applyFont="1" applyBorder="1" applyAlignment="1">
      <alignment vertical="center"/>
    </xf>
    <xf numFmtId="0" fontId="65" fillId="0" borderId="0" xfId="58" applyFont="1" applyBorder="1"/>
    <xf numFmtId="0" fontId="65" fillId="0" borderId="0" xfId="58" applyFont="1" applyBorder="1" applyAlignment="1">
      <alignment vertical="center"/>
    </xf>
    <xf numFmtId="0" fontId="9" fillId="0" borderId="0" xfId="58" applyFont="1" applyBorder="1" applyAlignment="1">
      <alignment vertical="center"/>
    </xf>
    <xf numFmtId="0" fontId="9" fillId="0" borderId="0" xfId="58" applyFont="1" applyBorder="1" applyAlignment="1">
      <alignment horizontal="right" vertical="center"/>
    </xf>
    <xf numFmtId="0" fontId="88" fillId="0" borderId="27" xfId="46" applyFont="1" applyFill="1" applyBorder="1" applyAlignment="1">
      <alignment vertical="center" wrapText="1"/>
    </xf>
    <xf numFmtId="0" fontId="52" fillId="0" borderId="25" xfId="46" applyFont="1" applyFill="1" applyBorder="1" applyAlignment="1">
      <alignment horizontal="center" vertical="center" wrapText="1"/>
    </xf>
    <xf numFmtId="3" fontId="52" fillId="0" borderId="25" xfId="46" applyNumberFormat="1" applyFont="1" applyFill="1" applyBorder="1" applyAlignment="1">
      <alignment horizontal="center" vertical="center" wrapText="1"/>
    </xf>
    <xf numFmtId="0" fontId="62" fillId="0" borderId="30" xfId="46" applyNumberFormat="1" applyFont="1" applyFill="1" applyBorder="1" applyAlignment="1">
      <alignment horizontal="justify" vertical="center"/>
    </xf>
    <xf numFmtId="0" fontId="62" fillId="0" borderId="29" xfId="46" applyNumberFormat="1" applyFont="1" applyFill="1" applyBorder="1" applyAlignment="1">
      <alignment horizontal="justify" vertical="center"/>
    </xf>
    <xf numFmtId="0" fontId="52" fillId="0" borderId="32" xfId="46" applyFont="1" applyFill="1" applyBorder="1" applyAlignment="1">
      <alignment vertical="center"/>
    </xf>
    <xf numFmtId="0" fontId="87" fillId="0" borderId="28" xfId="46" applyFont="1" applyFill="1" applyBorder="1" applyAlignment="1">
      <alignment vertical="center" wrapText="1"/>
    </xf>
    <xf numFmtId="3" fontId="110" fillId="0" borderId="0" xfId="45" applyNumberFormat="1"/>
    <xf numFmtId="3" fontId="10" fillId="0" borderId="0" xfId="76" applyNumberFormat="1" applyFont="1"/>
    <xf numFmtId="0" fontId="11" fillId="0" borderId="28" xfId="0" applyFont="1" applyFill="1" applyBorder="1" applyAlignment="1">
      <alignment horizontal="left" vertical="center"/>
    </xf>
    <xf numFmtId="0" fontId="18" fillId="0" borderId="0" xfId="45" applyFont="1" applyAlignment="1">
      <alignment horizontal="left"/>
    </xf>
    <xf numFmtId="0" fontId="87" fillId="0" borderId="10" xfId="45" applyFont="1" applyBorder="1" applyAlignment="1">
      <alignment horizontal="center" vertical="center" wrapText="1"/>
    </xf>
    <xf numFmtId="0" fontId="101" fillId="0" borderId="28" xfId="45" applyFont="1" applyBorder="1" applyAlignment="1">
      <alignment horizontal="center" vertical="center"/>
    </xf>
    <xf numFmtId="0" fontId="100" fillId="0" borderId="28" xfId="45" applyFont="1" applyBorder="1" applyAlignment="1">
      <alignment vertical="center"/>
    </xf>
    <xf numFmtId="0" fontId="101" fillId="0" borderId="28" xfId="45" applyFont="1" applyBorder="1" applyAlignment="1">
      <alignment vertical="center"/>
    </xf>
    <xf numFmtId="165" fontId="101" fillId="24" borderId="36" xfId="63" applyNumberFormat="1" applyFont="1" applyFill="1" applyBorder="1" applyAlignment="1">
      <alignment vertical="center" wrapText="1"/>
    </xf>
    <xf numFmtId="3" fontId="109" fillId="24" borderId="37" xfId="45" applyNumberFormat="1" applyFont="1" applyFill="1" applyBorder="1" applyAlignment="1">
      <alignment vertical="center"/>
    </xf>
    <xf numFmtId="3" fontId="109" fillId="24" borderId="38" xfId="45" applyNumberFormat="1" applyFont="1" applyFill="1" applyBorder="1" applyAlignment="1">
      <alignment vertical="center"/>
    </xf>
    <xf numFmtId="3" fontId="97" fillId="0" borderId="29" xfId="45" applyNumberFormat="1" applyFont="1" applyFill="1" applyBorder="1" applyAlignment="1">
      <alignment vertical="center"/>
    </xf>
    <xf numFmtId="3" fontId="109" fillId="0" borderId="29" xfId="45" applyNumberFormat="1" applyFont="1" applyFill="1" applyBorder="1" applyAlignment="1">
      <alignment vertical="center"/>
    </xf>
    <xf numFmtId="0" fontId="101" fillId="24" borderId="36" xfId="45" applyFont="1" applyFill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167" fontId="16" fillId="0" borderId="28" xfId="0" applyNumberFormat="1" applyFont="1" applyFill="1" applyBorder="1" applyAlignment="1">
      <alignment vertical="center"/>
    </xf>
    <xf numFmtId="0" fontId="77" fillId="27" borderId="36" xfId="0" applyFont="1" applyFill="1" applyBorder="1"/>
    <xf numFmtId="0" fontId="76" fillId="0" borderId="46" xfId="0" applyFont="1" applyBorder="1"/>
    <xf numFmtId="3" fontId="77" fillId="26" borderId="29" xfId="0" applyNumberFormat="1" applyFont="1" applyFill="1" applyBorder="1"/>
    <xf numFmtId="3" fontId="76" fillId="28" borderId="29" xfId="0" applyNumberFormat="1" applyFont="1" applyFill="1" applyBorder="1"/>
    <xf numFmtId="3" fontId="77" fillId="27" borderId="37" xfId="0" applyNumberFormat="1" applyFont="1" applyFill="1" applyBorder="1"/>
    <xf numFmtId="3" fontId="77" fillId="27" borderId="38" xfId="0" applyNumberFormat="1" applyFont="1" applyFill="1" applyBorder="1"/>
    <xf numFmtId="3" fontId="76" fillId="0" borderId="46" xfId="0" applyNumberFormat="1" applyFont="1" applyBorder="1"/>
    <xf numFmtId="0" fontId="109" fillId="0" borderId="0" xfId="49" applyFont="1" applyAlignment="1">
      <alignment horizontal="center" wrapText="1"/>
    </xf>
    <xf numFmtId="0" fontId="138" fillId="0" borderId="0" xfId="0" applyFont="1" applyAlignment="1">
      <alignment wrapText="1"/>
    </xf>
    <xf numFmtId="0" fontId="97" fillId="0" borderId="0" xfId="49" applyFont="1" applyAlignment="1">
      <alignment horizontal="right"/>
    </xf>
    <xf numFmtId="0" fontId="46" fillId="0" borderId="0" xfId="76" applyFont="1" applyAlignment="1">
      <alignment horizontal="center"/>
    </xf>
    <xf numFmtId="0" fontId="62" fillId="0" borderId="0" xfId="81" applyFont="1" applyFill="1" applyBorder="1" applyAlignment="1">
      <alignment horizontal="right"/>
    </xf>
    <xf numFmtId="0" fontId="88" fillId="0" borderId="0" xfId="45" applyFont="1" applyAlignment="1">
      <alignment horizontal="center" wrapText="1"/>
    </xf>
    <xf numFmtId="0" fontId="88" fillId="0" borderId="0" xfId="45" applyFont="1" applyAlignment="1">
      <alignment horizontal="center"/>
    </xf>
    <xf numFmtId="0" fontId="62" fillId="0" borderId="0" xfId="64" applyFont="1" applyFill="1" applyAlignment="1">
      <alignment horizontal="center"/>
    </xf>
    <xf numFmtId="0" fontId="62" fillId="0" borderId="0" xfId="46" applyFont="1" applyFill="1" applyAlignment="1">
      <alignment horizontal="center" vertical="center"/>
    </xf>
    <xf numFmtId="0" fontId="62" fillId="0" borderId="0" xfId="46" applyFont="1" applyFill="1" applyAlignment="1"/>
    <xf numFmtId="0" fontId="62" fillId="0" borderId="0" xfId="46" applyFont="1" applyFill="1"/>
    <xf numFmtId="0" fontId="88" fillId="0" borderId="0" xfId="0" applyFont="1" applyAlignment="1">
      <alignment horizontal="right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45" applyFont="1" applyBorder="1" applyAlignment="1">
      <alignment horizontal="center" vertical="center" wrapText="1"/>
    </xf>
    <xf numFmtId="3" fontId="62" fillId="0" borderId="24" xfId="0" applyNumberFormat="1" applyFont="1" applyFill="1" applyBorder="1" applyAlignment="1">
      <alignment horizontal="right" vertical="center"/>
    </xf>
    <xf numFmtId="0" fontId="9" fillId="0" borderId="19" xfId="46" applyFont="1" applyFill="1" applyBorder="1" applyAlignment="1">
      <alignment horizontal="center" vertical="center" wrapText="1"/>
    </xf>
    <xf numFmtId="0" fontId="9" fillId="0" borderId="19" xfId="46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6" fillId="24" borderId="18" xfId="0" applyFont="1" applyFill="1" applyBorder="1" applyAlignment="1">
      <alignment horizontal="center" vertical="center" wrapText="1"/>
    </xf>
    <xf numFmtId="0" fontId="16" fillId="24" borderId="19" xfId="0" applyFont="1" applyFill="1" applyBorder="1" applyAlignment="1">
      <alignment horizontal="left" vertical="center" wrapText="1"/>
    </xf>
    <xf numFmtId="0" fontId="9" fillId="24" borderId="19" xfId="0" applyFont="1" applyFill="1" applyBorder="1" applyAlignment="1">
      <alignment horizontal="left" vertical="center"/>
    </xf>
    <xf numFmtId="3" fontId="87" fillId="24" borderId="19" xfId="0" applyNumberFormat="1" applyFont="1" applyFill="1" applyBorder="1" applyAlignment="1">
      <alignment horizontal="righ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6" fillId="24" borderId="18" xfId="0" applyFont="1" applyFill="1" applyBorder="1" applyAlignment="1">
      <alignment horizontal="center"/>
    </xf>
    <xf numFmtId="167" fontId="44" fillId="29" borderId="18" xfId="0" applyNumberFormat="1" applyFont="1" applyFill="1" applyBorder="1" applyAlignment="1">
      <alignment horizontal="center" vertical="center"/>
    </xf>
    <xf numFmtId="167" fontId="14" fillId="0" borderId="61" xfId="0" applyNumberFormat="1" applyFont="1" applyFill="1" applyBorder="1" applyAlignment="1">
      <alignment horizontal="center" vertical="center"/>
    </xf>
    <xf numFmtId="167" fontId="14" fillId="0" borderId="62" xfId="0" applyNumberFormat="1" applyFont="1" applyFill="1" applyBorder="1" applyAlignment="1">
      <alignment horizontal="center" vertical="center"/>
    </xf>
    <xf numFmtId="167" fontId="44" fillId="24" borderId="18" xfId="0" applyNumberFormat="1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 wrapText="1"/>
    </xf>
    <xf numFmtId="49" fontId="77" fillId="29" borderId="18" xfId="0" applyNumberFormat="1" applyFont="1" applyFill="1" applyBorder="1" applyAlignment="1">
      <alignment horizontal="center" vertical="center"/>
    </xf>
    <xf numFmtId="49" fontId="76" fillId="0" borderId="27" xfId="0" applyNumberFormat="1" applyFont="1" applyFill="1" applyBorder="1" applyAlignment="1">
      <alignment horizontal="center" vertical="center"/>
    </xf>
    <xf numFmtId="49" fontId="76" fillId="0" borderId="28" xfId="0" applyNumberFormat="1" applyFont="1" applyFill="1" applyBorder="1" applyAlignment="1">
      <alignment horizontal="center" vertical="center"/>
    </xf>
    <xf numFmtId="167" fontId="76" fillId="0" borderId="27" xfId="0" applyNumberFormat="1" applyFont="1" applyFill="1" applyBorder="1" applyAlignment="1">
      <alignment horizontal="center" vertical="center"/>
    </xf>
    <xf numFmtId="49" fontId="16" fillId="29" borderId="18" xfId="0" applyNumberFormat="1" applyFont="1" applyFill="1" applyBorder="1" applyAlignment="1">
      <alignment horizontal="center" vertical="center"/>
    </xf>
    <xf numFmtId="1" fontId="17" fillId="29" borderId="18" xfId="30" applyNumberFormat="1" applyFont="1" applyFill="1" applyBorder="1" applyAlignment="1">
      <alignment horizontal="center" vertical="center"/>
    </xf>
    <xf numFmtId="1" fontId="46" fillId="0" borderId="27" xfId="67" applyNumberFormat="1" applyFont="1" applyFill="1" applyBorder="1" applyAlignment="1">
      <alignment horizontal="center" vertical="center"/>
    </xf>
    <xf numFmtId="1" fontId="46" fillId="0" borderId="28" xfId="67" applyNumberFormat="1" applyFont="1" applyFill="1" applyBorder="1" applyAlignment="1">
      <alignment horizontal="center" vertical="center"/>
    </xf>
    <xf numFmtId="1" fontId="17" fillId="24" borderId="18" xfId="30" applyNumberFormat="1" applyFont="1" applyFill="1" applyBorder="1" applyAlignment="1">
      <alignment horizontal="center" vertical="center"/>
    </xf>
    <xf numFmtId="0" fontId="46" fillId="0" borderId="0" xfId="64" applyFont="1" applyAlignment="1">
      <alignment horizontal="right" vertical="center"/>
    </xf>
    <xf numFmtId="0" fontId="88" fillId="0" borderId="0" xfId="54" applyFont="1" applyAlignment="1">
      <alignment horizontal="center"/>
    </xf>
    <xf numFmtId="0" fontId="46" fillId="0" borderId="0" xfId="64" applyFont="1" applyBorder="1" applyAlignment="1">
      <alignment horizontal="right" vertical="center"/>
    </xf>
    <xf numFmtId="0" fontId="100" fillId="0" borderId="0" xfId="64" applyFont="1" applyBorder="1" applyAlignment="1">
      <alignment horizontal="right"/>
    </xf>
    <xf numFmtId="0" fontId="100" fillId="0" borderId="0" xfId="64" applyFont="1" applyAlignment="1">
      <alignment horizontal="right" vertical="center"/>
    </xf>
    <xf numFmtId="0" fontId="88" fillId="0" borderId="0" xfId="0" applyFont="1" applyAlignment="1">
      <alignment horizontal="right" vertical="center"/>
    </xf>
    <xf numFmtId="0" fontId="88" fillId="0" borderId="0" xfId="0" applyFont="1" applyAlignment="1">
      <alignment horizontal="center" vertical="center"/>
    </xf>
    <xf numFmtId="0" fontId="87" fillId="0" borderId="0" xfId="45" applyFont="1" applyAlignment="1">
      <alignment horizontal="center"/>
    </xf>
    <xf numFmtId="0" fontId="141" fillId="0" borderId="0" xfId="45" applyFont="1" applyAlignment="1">
      <alignment horizontal="center"/>
    </xf>
    <xf numFmtId="0" fontId="142" fillId="0" borderId="0" xfId="0" applyFont="1" applyAlignment="1"/>
    <xf numFmtId="0" fontId="53" fillId="0" borderId="18" xfId="45" applyFont="1" applyFill="1" applyBorder="1" applyAlignment="1">
      <alignment horizontal="center" vertical="center" wrapText="1"/>
    </xf>
    <xf numFmtId="0" fontId="104" fillId="0" borderId="0" xfId="46" applyFont="1" applyAlignment="1">
      <alignment horizontal="center"/>
    </xf>
    <xf numFmtId="0" fontId="104" fillId="0" borderId="0" xfId="46" applyFont="1" applyAlignment="1">
      <alignment vertical="center"/>
    </xf>
    <xf numFmtId="0" fontId="87" fillId="0" borderId="0" xfId="0" applyFont="1" applyAlignment="1">
      <alignment horizontal="center" vertical="center"/>
    </xf>
    <xf numFmtId="0" fontId="143" fillId="0" borderId="0" xfId="0" applyFont="1" applyAlignment="1">
      <alignment horizontal="center" vertical="center"/>
    </xf>
    <xf numFmtId="0" fontId="88" fillId="0" borderId="0" xfId="0" applyFont="1"/>
    <xf numFmtId="0" fontId="103" fillId="0" borderId="0" xfId="0" applyFont="1" applyAlignment="1">
      <alignment horizontal="right" vertical="center"/>
    </xf>
    <xf numFmtId="0" fontId="103" fillId="0" borderId="0" xfId="0" applyFont="1" applyAlignment="1">
      <alignment horizontal="right"/>
    </xf>
    <xf numFmtId="0" fontId="101" fillId="0" borderId="0" xfId="68" applyFont="1" applyBorder="1" applyAlignment="1">
      <alignment wrapText="1"/>
    </xf>
    <xf numFmtId="0" fontId="144" fillId="0" borderId="0" xfId="67" applyFont="1" applyBorder="1" applyAlignment="1">
      <alignment horizontal="center" wrapText="1"/>
    </xf>
    <xf numFmtId="0" fontId="97" fillId="0" borderId="0" xfId="45" applyFont="1" applyAlignment="1">
      <alignment horizontal="center" wrapText="1"/>
    </xf>
    <xf numFmtId="0" fontId="98" fillId="0" borderId="0" xfId="0" applyFont="1" applyFill="1" applyBorder="1" applyAlignment="1">
      <alignment horizontal="right"/>
    </xf>
    <xf numFmtId="0" fontId="45" fillId="0" borderId="0" xfId="0" applyFont="1" applyAlignment="1">
      <alignment horizontal="center"/>
    </xf>
    <xf numFmtId="0" fontId="62" fillId="0" borderId="10" xfId="0" applyFont="1" applyFill="1" applyBorder="1" applyAlignment="1">
      <alignment horizontal="center" vertical="center"/>
    </xf>
    <xf numFmtId="0" fontId="62" fillId="0" borderId="10" xfId="0" applyFont="1" applyBorder="1" applyAlignment="1">
      <alignment vertical="center" wrapText="1"/>
    </xf>
    <xf numFmtId="49" fontId="62" fillId="0" borderId="10" xfId="0" applyNumberFormat="1" applyFont="1" applyFill="1" applyBorder="1" applyAlignment="1">
      <alignment horizontal="center" vertical="center"/>
    </xf>
    <xf numFmtId="0" fontId="62" fillId="34" borderId="10" xfId="0" applyFont="1" applyFill="1" applyBorder="1" applyAlignment="1">
      <alignment vertical="center" wrapText="1"/>
    </xf>
    <xf numFmtId="0" fontId="62" fillId="0" borderId="10" xfId="0" applyFont="1" applyFill="1" applyBorder="1" applyAlignment="1">
      <alignment vertical="center" wrapText="1"/>
    </xf>
    <xf numFmtId="49" fontId="62" fillId="0" borderId="24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left" vertical="center" wrapText="1"/>
    </xf>
    <xf numFmtId="0" fontId="52" fillId="24" borderId="48" xfId="46" applyFont="1" applyFill="1" applyBorder="1" applyAlignment="1">
      <alignment vertical="center" wrapText="1"/>
    </xf>
    <xf numFmtId="0" fontId="52" fillId="24" borderId="49" xfId="46" applyFont="1" applyFill="1" applyBorder="1" applyAlignment="1">
      <alignment horizontal="center" vertical="center"/>
    </xf>
    <xf numFmtId="3" fontId="52" fillId="24" borderId="49" xfId="46" applyNumberFormat="1" applyFont="1" applyFill="1" applyBorder="1" applyAlignment="1">
      <alignment horizontal="center" vertical="center"/>
    </xf>
    <xf numFmtId="0" fontId="52" fillId="24" borderId="53" xfId="46" applyFont="1" applyFill="1" applyBorder="1" applyAlignment="1">
      <alignment horizontal="justify" vertical="center"/>
    </xf>
    <xf numFmtId="0" fontId="52" fillId="0" borderId="64" xfId="0" applyFont="1" applyFill="1" applyBorder="1" applyAlignment="1">
      <alignment vertical="center"/>
    </xf>
    <xf numFmtId="0" fontId="52" fillId="0" borderId="64" xfId="0" applyFont="1" applyFill="1" applyBorder="1" applyAlignment="1">
      <alignment horizontal="center" vertical="center"/>
    </xf>
    <xf numFmtId="3" fontId="52" fillId="0" borderId="64" xfId="0" applyNumberFormat="1" applyFont="1" applyFill="1" applyBorder="1" applyAlignment="1">
      <alignment horizontal="right" vertical="center"/>
    </xf>
    <xf numFmtId="0" fontId="52" fillId="0" borderId="64" xfId="0" applyFont="1" applyFill="1" applyBorder="1" applyAlignment="1">
      <alignment horizontal="justify" vertical="center"/>
    </xf>
    <xf numFmtId="0" fontId="87" fillId="0" borderId="0" xfId="67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138" fillId="0" borderId="0" xfId="0" applyFont="1" applyAlignment="1">
      <alignment wrapText="1"/>
    </xf>
    <xf numFmtId="0" fontId="45" fillId="0" borderId="0" xfId="45" applyFont="1" applyAlignment="1">
      <alignment horizontal="center" wrapText="1"/>
    </xf>
    <xf numFmtId="0" fontId="64" fillId="0" borderId="0" xfId="0" applyFont="1" applyAlignment="1"/>
    <xf numFmtId="0" fontId="0" fillId="0" borderId="0" xfId="0" applyAlignment="1"/>
    <xf numFmtId="0" fontId="109" fillId="0" borderId="0" xfId="0" applyFont="1" applyAlignment="1">
      <alignment horizontal="center"/>
    </xf>
    <xf numFmtId="171" fontId="88" fillId="0" borderId="16" xfId="49" applyNumberFormat="1" applyFont="1" applyBorder="1"/>
    <xf numFmtId="3" fontId="97" fillId="0" borderId="29" xfId="45" applyNumberFormat="1" applyFont="1" applyBorder="1" applyAlignment="1">
      <alignment vertical="center"/>
    </xf>
    <xf numFmtId="3" fontId="109" fillId="0" borderId="29" xfId="45" applyNumberFormat="1" applyFont="1" applyBorder="1" applyAlignment="1">
      <alignment vertical="center"/>
    </xf>
    <xf numFmtId="0" fontId="100" fillId="0" borderId="28" xfId="45" applyFont="1" applyFill="1" applyBorder="1" applyAlignment="1">
      <alignment vertical="center"/>
    </xf>
    <xf numFmtId="0" fontId="45" fillId="24" borderId="28" xfId="45" applyFont="1" applyFill="1" applyBorder="1" applyAlignment="1">
      <alignment horizontal="left" vertical="center"/>
    </xf>
    <xf numFmtId="3" fontId="17" fillId="24" borderId="29" xfId="45" applyNumberFormat="1" applyFont="1" applyFill="1" applyBorder="1"/>
    <xf numFmtId="0" fontId="18" fillId="27" borderId="36" xfId="0" applyFont="1" applyFill="1" applyBorder="1"/>
    <xf numFmtId="3" fontId="17" fillId="27" borderId="38" xfId="0" applyNumberFormat="1" applyFont="1" applyFill="1" applyBorder="1"/>
    <xf numFmtId="3" fontId="17" fillId="24" borderId="28" xfId="45" applyNumberFormat="1" applyFont="1" applyFill="1" applyBorder="1"/>
    <xf numFmtId="3" fontId="17" fillId="27" borderId="36" xfId="0" applyNumberFormat="1" applyFont="1" applyFill="1" applyBorder="1"/>
    <xf numFmtId="0" fontId="46" fillId="0" borderId="10" xfId="0" applyFont="1" applyFill="1" applyBorder="1" applyAlignment="1">
      <alignment vertical="center"/>
    </xf>
    <xf numFmtId="0" fontId="95" fillId="26" borderId="10" xfId="0" applyFont="1" applyFill="1" applyBorder="1"/>
    <xf numFmtId="0" fontId="46" fillId="0" borderId="10" xfId="45" applyFont="1" applyFill="1" applyBorder="1"/>
    <xf numFmtId="0" fontId="46" fillId="27" borderId="36" xfId="0" applyFont="1" applyFill="1" applyBorder="1"/>
    <xf numFmtId="0" fontId="17" fillId="27" borderId="37" xfId="0" applyFont="1" applyFill="1" applyBorder="1"/>
    <xf numFmtId="3" fontId="46" fillId="0" borderId="28" xfId="0" applyNumberFormat="1" applyFont="1" applyFill="1" applyBorder="1" applyAlignment="1">
      <alignment horizontal="right"/>
    </xf>
    <xf numFmtId="0" fontId="17" fillId="27" borderId="28" xfId="0" applyFont="1" applyFill="1" applyBorder="1"/>
    <xf numFmtId="0" fontId="17" fillId="27" borderId="36" xfId="0" applyFont="1" applyFill="1" applyBorder="1"/>
    <xf numFmtId="3" fontId="17" fillId="0" borderId="28" xfId="79" applyNumberFormat="1" applyFont="1" applyFill="1" applyBorder="1" applyAlignment="1">
      <alignment horizontal="right"/>
    </xf>
    <xf numFmtId="3" fontId="46" fillId="0" borderId="28" xfId="79" applyNumberFormat="1" applyFont="1" applyFill="1" applyBorder="1" applyAlignment="1">
      <alignment horizontal="right"/>
    </xf>
    <xf numFmtId="3" fontId="95" fillId="0" borderId="28" xfId="45" applyNumberFormat="1" applyFont="1" applyFill="1" applyBorder="1" applyAlignment="1">
      <alignment horizontal="right"/>
    </xf>
    <xf numFmtId="3" fontId="17" fillId="26" borderId="28" xfId="45" applyNumberFormat="1" applyFont="1" applyFill="1" applyBorder="1" applyAlignment="1">
      <alignment horizontal="right"/>
    </xf>
    <xf numFmtId="3" fontId="46" fillId="28" borderId="28" xfId="0" applyNumberFormat="1" applyFont="1" applyFill="1" applyBorder="1" applyAlignment="1">
      <alignment horizontal="right"/>
    </xf>
    <xf numFmtId="3" fontId="46" fillId="0" borderId="28" xfId="45" applyNumberFormat="1" applyFont="1" applyBorder="1" applyAlignment="1">
      <alignment horizontal="right"/>
    </xf>
    <xf numFmtId="3" fontId="17" fillId="0" borderId="28" xfId="45" applyNumberFormat="1" applyFont="1" applyBorder="1" applyAlignment="1">
      <alignment horizontal="right"/>
    </xf>
    <xf numFmtId="3" fontId="17" fillId="27" borderId="28" xfId="0" applyNumberFormat="1" applyFont="1" applyFill="1" applyBorder="1" applyAlignment="1">
      <alignment horizontal="right"/>
    </xf>
    <xf numFmtId="3" fontId="17" fillId="27" borderId="36" xfId="0" applyNumberFormat="1" applyFont="1" applyFill="1" applyBorder="1" applyAlignment="1">
      <alignment horizontal="right"/>
    </xf>
    <xf numFmtId="0" fontId="17" fillId="0" borderId="51" xfId="49" applyFont="1" applyBorder="1" applyAlignment="1">
      <alignment horizontal="center" vertical="center" wrapText="1"/>
    </xf>
    <xf numFmtId="0" fontId="80" fillId="0" borderId="28" xfId="49" applyFont="1" applyFill="1" applyBorder="1" applyAlignment="1">
      <alignment horizontal="left" vertical="center"/>
    </xf>
    <xf numFmtId="0" fontId="17" fillId="26" borderId="28" xfId="49" applyFont="1" applyFill="1" applyBorder="1" applyAlignment="1">
      <alignment horizontal="left" vertical="center"/>
    </xf>
    <xf numFmtId="3" fontId="99" fillId="26" borderId="10" xfId="49" applyNumberFormat="1" applyFont="1" applyFill="1" applyBorder="1"/>
    <xf numFmtId="0" fontId="95" fillId="24" borderId="36" xfId="0" applyFont="1" applyFill="1" applyBorder="1" applyAlignment="1">
      <alignment horizontal="left" vertical="center" wrapText="1"/>
    </xf>
    <xf numFmtId="3" fontId="136" fillId="24" borderId="37" xfId="49" applyNumberFormat="1" applyFont="1" applyFill="1" applyBorder="1"/>
    <xf numFmtId="0" fontId="9" fillId="0" borderId="23" xfId="46" applyFont="1" applyFill="1" applyBorder="1" applyAlignment="1">
      <alignment horizontal="center" vertical="center" wrapText="1"/>
    </xf>
    <xf numFmtId="3" fontId="62" fillId="0" borderId="67" xfId="46" applyNumberFormat="1" applyFont="1" applyFill="1" applyBorder="1" applyAlignment="1">
      <alignment horizontal="right" vertical="center" wrapText="1"/>
    </xf>
    <xf numFmtId="3" fontId="52" fillId="0" borderId="67" xfId="46" applyNumberFormat="1" applyFont="1" applyFill="1" applyBorder="1" applyAlignment="1">
      <alignment horizontal="right" vertical="center" wrapText="1"/>
    </xf>
    <xf numFmtId="3" fontId="52" fillId="0" borderId="21" xfId="0" applyNumberFormat="1" applyFont="1" applyBorder="1" applyAlignment="1">
      <alignment horizontal="right"/>
    </xf>
    <xf numFmtId="3" fontId="87" fillId="0" borderId="23" xfId="0" applyNumberFormat="1" applyFont="1" applyBorder="1" applyAlignment="1">
      <alignment horizontal="right"/>
    </xf>
    <xf numFmtId="3" fontId="87" fillId="24" borderId="23" xfId="0" applyNumberFormat="1" applyFont="1" applyFill="1" applyBorder="1" applyAlignment="1">
      <alignment horizontal="right"/>
    </xf>
    <xf numFmtId="3" fontId="52" fillId="0" borderId="10" xfId="0" applyNumberFormat="1" applyFont="1" applyBorder="1" applyAlignment="1">
      <alignment horizontal="right"/>
    </xf>
    <xf numFmtId="3" fontId="62" fillId="0" borderId="67" xfId="0" applyNumberFormat="1" applyFont="1" applyBorder="1" applyAlignment="1">
      <alignment horizontal="right"/>
    </xf>
    <xf numFmtId="3" fontId="87" fillId="0" borderId="21" xfId="0" applyNumberFormat="1" applyFont="1" applyBorder="1" applyAlignment="1">
      <alignment horizontal="right"/>
    </xf>
    <xf numFmtId="3" fontId="88" fillId="0" borderId="67" xfId="0" applyNumberFormat="1" applyFont="1" applyBorder="1" applyAlignment="1">
      <alignment horizontal="right"/>
    </xf>
    <xf numFmtId="3" fontId="104" fillId="26" borderId="10" xfId="0" applyNumberFormat="1" applyFont="1" applyFill="1" applyBorder="1" applyAlignment="1">
      <alignment horizontal="right" vertical="center"/>
    </xf>
    <xf numFmtId="3" fontId="104" fillId="26" borderId="29" xfId="0" applyNumberFormat="1" applyFont="1" applyFill="1" applyBorder="1" applyAlignment="1">
      <alignment horizontal="right" vertical="center"/>
    </xf>
    <xf numFmtId="0" fontId="53" fillId="24" borderId="37" xfId="0" applyFont="1" applyFill="1" applyBorder="1" applyAlignment="1">
      <alignment horizontal="left" vertical="center" wrapText="1"/>
    </xf>
    <xf numFmtId="3" fontId="104" fillId="24" borderId="37" xfId="0" applyNumberFormat="1" applyFont="1" applyFill="1" applyBorder="1" applyAlignment="1">
      <alignment horizontal="right" vertical="center"/>
    </xf>
    <xf numFmtId="3" fontId="104" fillId="24" borderId="38" xfId="0" applyNumberFormat="1" applyFont="1" applyFill="1" applyBorder="1" applyAlignment="1">
      <alignment horizontal="right" vertical="center"/>
    </xf>
    <xf numFmtId="0" fontId="9" fillId="0" borderId="47" xfId="45" applyFont="1" applyBorder="1" applyAlignment="1">
      <alignment horizontal="center" vertical="center" wrapText="1"/>
    </xf>
    <xf numFmtId="3" fontId="103" fillId="0" borderId="28" xfId="45" applyNumberFormat="1" applyFont="1" applyBorder="1" applyAlignment="1">
      <alignment horizontal="right" vertical="center" wrapText="1"/>
    </xf>
    <xf numFmtId="3" fontId="104" fillId="26" borderId="28" xfId="0" applyNumberFormat="1" applyFont="1" applyFill="1" applyBorder="1" applyAlignment="1">
      <alignment horizontal="right" vertical="center"/>
    </xf>
    <xf numFmtId="3" fontId="103" fillId="0" borderId="28" xfId="0" applyNumberFormat="1" applyFont="1" applyBorder="1" applyAlignment="1">
      <alignment horizontal="right" vertical="center"/>
    </xf>
    <xf numFmtId="3" fontId="103" fillId="0" borderId="28" xfId="0" applyNumberFormat="1" applyFont="1" applyFill="1" applyBorder="1" applyAlignment="1">
      <alignment horizontal="right" vertical="center"/>
    </xf>
    <xf numFmtId="3" fontId="104" fillId="24" borderId="36" xfId="0" applyNumberFormat="1" applyFont="1" applyFill="1" applyBorder="1" applyAlignment="1">
      <alignment horizontal="right" vertical="center"/>
    </xf>
    <xf numFmtId="3" fontId="62" fillId="0" borderId="25" xfId="0" applyNumberFormat="1" applyFont="1" applyFill="1" applyBorder="1" applyAlignment="1">
      <alignment horizontal="right" vertical="center"/>
    </xf>
    <xf numFmtId="3" fontId="62" fillId="0" borderId="3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9" fillId="0" borderId="0" xfId="45" applyFont="1" applyBorder="1" applyAlignment="1">
      <alignment horizontal="center" vertical="center" wrapText="1"/>
    </xf>
    <xf numFmtId="3" fontId="103" fillId="0" borderId="0" xfId="45" applyNumberFormat="1" applyFont="1" applyBorder="1" applyAlignment="1">
      <alignment horizontal="right" vertical="center" wrapText="1"/>
    </xf>
    <xf numFmtId="3" fontId="104" fillId="26" borderId="0" xfId="0" applyNumberFormat="1" applyFont="1" applyFill="1" applyBorder="1" applyAlignment="1">
      <alignment horizontal="right" vertical="center"/>
    </xf>
    <xf numFmtId="3" fontId="103" fillId="0" borderId="0" xfId="0" applyNumberFormat="1" applyFont="1" applyBorder="1" applyAlignment="1">
      <alignment horizontal="right" vertical="center"/>
    </xf>
    <xf numFmtId="3" fontId="103" fillId="0" borderId="0" xfId="0" applyNumberFormat="1" applyFont="1" applyFill="1" applyBorder="1" applyAlignment="1">
      <alignment horizontal="right" vertical="center"/>
    </xf>
    <xf numFmtId="3" fontId="104" fillId="24" borderId="0" xfId="0" applyNumberFormat="1" applyFont="1" applyFill="1" applyBorder="1" applyAlignment="1">
      <alignment horizontal="right" vertical="center"/>
    </xf>
    <xf numFmtId="3" fontId="103" fillId="0" borderId="0" xfId="0" applyNumberFormat="1" applyFont="1" applyBorder="1" applyAlignment="1">
      <alignment horizontal="center" vertical="center"/>
    </xf>
    <xf numFmtId="0" fontId="56" fillId="0" borderId="0" xfId="45" applyFont="1" applyBorder="1" applyAlignment="1">
      <alignment horizontal="center" vertical="center" wrapText="1"/>
    </xf>
    <xf numFmtId="3" fontId="62" fillId="0" borderId="0" xfId="0" applyNumberFormat="1" applyFont="1" applyFill="1" applyBorder="1" applyAlignment="1">
      <alignment horizontal="center" vertical="center"/>
    </xf>
    <xf numFmtId="3" fontId="52" fillId="29" borderId="0" xfId="0" applyNumberFormat="1" applyFont="1" applyFill="1" applyBorder="1" applyAlignment="1">
      <alignment horizontal="center" vertical="center"/>
    </xf>
    <xf numFmtId="3" fontId="62" fillId="0" borderId="0" xfId="0" applyNumberFormat="1" applyFont="1" applyBorder="1" applyAlignment="1">
      <alignment horizontal="center" vertical="center"/>
    </xf>
    <xf numFmtId="3" fontId="52" fillId="2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5" fillId="0" borderId="0" xfId="64" applyFont="1" applyAlignment="1">
      <alignment horizontal="center" vertical="center"/>
    </xf>
    <xf numFmtId="3" fontId="46" fillId="0" borderId="0" xfId="67" applyNumberFormat="1" applyFont="1" applyFill="1" applyBorder="1" applyAlignment="1">
      <alignment horizontal="center" vertical="center"/>
    </xf>
    <xf numFmtId="3" fontId="17" fillId="29" borderId="0" xfId="30" applyNumberFormat="1" applyFont="1" applyFill="1" applyBorder="1" applyAlignment="1">
      <alignment horizontal="center" vertical="center"/>
    </xf>
    <xf numFmtId="3" fontId="17" fillId="24" borderId="0" xfId="30" applyNumberFormat="1" applyFont="1" applyFill="1" applyBorder="1" applyAlignment="1">
      <alignment horizontal="center" vertical="center"/>
    </xf>
    <xf numFmtId="0" fontId="128" fillId="0" borderId="0" xfId="0" applyFont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128" fillId="35" borderId="0" xfId="0" applyFont="1" applyFill="1" applyAlignment="1">
      <alignment horizontal="center" vertical="center"/>
    </xf>
    <xf numFmtId="3" fontId="128" fillId="0" borderId="0" xfId="0" applyNumberFormat="1" applyFont="1" applyAlignment="1">
      <alignment horizontal="center" vertical="center"/>
    </xf>
    <xf numFmtId="0" fontId="76" fillId="0" borderId="0" xfId="0" applyFont="1" applyBorder="1"/>
    <xf numFmtId="3" fontId="13" fillId="0" borderId="0" xfId="0" applyNumberFormat="1" applyFont="1" applyAlignment="1">
      <alignment horizontal="center"/>
    </xf>
    <xf numFmtId="0" fontId="97" fillId="0" borderId="0" xfId="45" applyFont="1" applyAlignment="1">
      <alignment horizontal="right"/>
    </xf>
    <xf numFmtId="0" fontId="101" fillId="0" borderId="0" xfId="58" applyFont="1" applyBorder="1" applyAlignment="1">
      <alignment horizontal="center" wrapText="1"/>
    </xf>
    <xf numFmtId="3" fontId="131" fillId="0" borderId="0" xfId="0" applyNumberFormat="1" applyFont="1"/>
    <xf numFmtId="3" fontId="62" fillId="0" borderId="10" xfId="0" applyNumberFormat="1" applyFont="1" applyFill="1" applyBorder="1" applyAlignment="1">
      <alignment horizontal="right"/>
    </xf>
    <xf numFmtId="0" fontId="100" fillId="0" borderId="0" xfId="45" applyFont="1" applyAlignment="1">
      <alignment horizontal="center" vertical="center" wrapText="1"/>
    </xf>
    <xf numFmtId="0" fontId="100" fillId="0" borderId="0" xfId="45" applyFont="1" applyAlignment="1">
      <alignment horizontal="right" vertical="center"/>
    </xf>
    <xf numFmtId="49" fontId="9" fillId="0" borderId="65" xfId="0" applyNumberFormat="1" applyFont="1" applyFill="1" applyBorder="1" applyAlignment="1">
      <alignment horizontal="center" vertical="center" wrapText="1"/>
    </xf>
    <xf numFmtId="49" fontId="54" fillId="0" borderId="62" xfId="0" applyNumberFormat="1" applyFont="1" applyBorder="1" applyAlignment="1">
      <alignment vertical="center"/>
    </xf>
    <xf numFmtId="49" fontId="54" fillId="0" borderId="62" xfId="0" applyNumberFormat="1" applyFont="1" applyFill="1" applyBorder="1" applyAlignment="1">
      <alignment vertical="center"/>
    </xf>
    <xf numFmtId="49" fontId="54" fillId="0" borderId="68" xfId="0" applyNumberFormat="1" applyFont="1" applyFill="1" applyBorder="1" applyAlignment="1">
      <alignment vertical="center"/>
    </xf>
    <xf numFmtId="49" fontId="53" fillId="26" borderId="11" xfId="0" applyNumberFormat="1" applyFont="1" applyFill="1" applyBorder="1" applyAlignment="1">
      <alignment vertical="center"/>
    </xf>
    <xf numFmtId="49" fontId="54" fillId="0" borderId="65" xfId="0" applyNumberFormat="1" applyFont="1" applyBorder="1" applyAlignment="1">
      <alignment vertical="center"/>
    </xf>
    <xf numFmtId="49" fontId="54" fillId="0" borderId="26" xfId="0" applyNumberFormat="1" applyFont="1" applyBorder="1" applyAlignment="1">
      <alignment vertical="center"/>
    </xf>
    <xf numFmtId="49" fontId="53" fillId="24" borderId="11" xfId="0" applyNumberFormat="1" applyFont="1" applyFill="1" applyBorder="1" applyAlignment="1">
      <alignment vertical="center"/>
    </xf>
    <xf numFmtId="49" fontId="9" fillId="0" borderId="44" xfId="0" applyNumberFormat="1" applyFont="1" applyFill="1" applyBorder="1" applyAlignment="1">
      <alignment horizontal="center" vertical="center" wrapText="1"/>
    </xf>
    <xf numFmtId="49" fontId="54" fillId="0" borderId="28" xfId="0" applyNumberFormat="1" applyFont="1" applyFill="1" applyBorder="1" applyAlignment="1">
      <alignment horizontal="center" vertical="center"/>
    </xf>
    <xf numFmtId="49" fontId="54" fillId="0" borderId="10" xfId="0" applyNumberFormat="1" applyFont="1" applyFill="1" applyBorder="1" applyAlignment="1">
      <alignment vertical="center"/>
    </xf>
    <xf numFmtId="49" fontId="53" fillId="26" borderId="28" xfId="0" applyNumberFormat="1" applyFont="1" applyFill="1" applyBorder="1" applyAlignment="1">
      <alignment horizontal="center" vertical="center"/>
    </xf>
    <xf numFmtId="49" fontId="53" fillId="26" borderId="10" xfId="0" applyNumberFormat="1" applyFont="1" applyFill="1" applyBorder="1" applyAlignment="1">
      <alignment vertical="center"/>
    </xf>
    <xf numFmtId="49" fontId="54" fillId="0" borderId="28" xfId="0" applyNumberFormat="1" applyFont="1" applyBorder="1" applyAlignment="1">
      <alignment horizontal="center" vertical="center"/>
    </xf>
    <xf numFmtId="49" fontId="54" fillId="0" borderId="10" xfId="0" applyNumberFormat="1" applyFont="1" applyBorder="1" applyAlignment="1">
      <alignment vertical="center"/>
    </xf>
    <xf numFmtId="49" fontId="53" fillId="24" borderId="36" xfId="0" applyNumberFormat="1" applyFont="1" applyFill="1" applyBorder="1" applyAlignment="1">
      <alignment horizontal="center" vertical="center"/>
    </xf>
    <xf numFmtId="49" fontId="53" fillId="24" borderId="37" xfId="0" applyNumberFormat="1" applyFont="1" applyFill="1" applyBorder="1" applyAlignment="1">
      <alignment vertical="center"/>
    </xf>
    <xf numFmtId="0" fontId="145" fillId="0" borderId="19" xfId="45" applyFont="1" applyFill="1" applyBorder="1" applyAlignment="1">
      <alignment horizontal="center" vertical="center" wrapText="1"/>
    </xf>
    <xf numFmtId="0" fontId="145" fillId="0" borderId="17" xfId="45" applyFont="1" applyFill="1" applyBorder="1" applyAlignment="1">
      <alignment horizontal="center" vertical="center" wrapText="1"/>
    </xf>
    <xf numFmtId="168" fontId="140" fillId="0" borderId="52" xfId="67" applyNumberFormat="1" applyFont="1" applyFill="1" applyBorder="1" applyAlignment="1">
      <alignment horizontal="center" vertical="center"/>
    </xf>
    <xf numFmtId="3" fontId="103" fillId="0" borderId="31" xfId="0" applyNumberFormat="1" applyFont="1" applyFill="1" applyBorder="1" applyAlignment="1">
      <alignment horizontal="right"/>
    </xf>
    <xf numFmtId="3" fontId="126" fillId="0" borderId="29" xfId="0" applyNumberFormat="1" applyFont="1" applyFill="1" applyBorder="1" applyAlignment="1">
      <alignment horizontal="right"/>
    </xf>
    <xf numFmtId="0" fontId="87" fillId="0" borderId="19" xfId="45" applyFont="1" applyFill="1" applyBorder="1" applyAlignment="1">
      <alignment horizontal="center" vertical="center" wrapText="1"/>
    </xf>
    <xf numFmtId="0" fontId="87" fillId="0" borderId="17" xfId="45" applyFont="1" applyFill="1" applyBorder="1" applyAlignment="1">
      <alignment horizontal="center" vertical="center" wrapText="1"/>
    </xf>
    <xf numFmtId="168" fontId="104" fillId="0" borderId="19" xfId="67" applyNumberFormat="1" applyFont="1" applyFill="1" applyBorder="1" applyAlignment="1">
      <alignment horizontal="center" vertical="center"/>
    </xf>
    <xf numFmtId="3" fontId="46" fillId="0" borderId="29" xfId="67" applyNumberFormat="1" applyFont="1" applyFill="1" applyBorder="1" applyAlignment="1">
      <alignment vertical="center"/>
    </xf>
    <xf numFmtId="3" fontId="17" fillId="29" borderId="17" xfId="30" applyNumberFormat="1" applyFont="1" applyFill="1" applyBorder="1" applyAlignment="1">
      <alignment horizontal="right" vertical="center"/>
    </xf>
    <xf numFmtId="3" fontId="46" fillId="0" borderId="31" xfId="67" applyNumberFormat="1" applyFont="1" applyFill="1" applyBorder="1" applyAlignment="1">
      <alignment vertical="center"/>
    </xf>
    <xf numFmtId="3" fontId="17" fillId="24" borderId="17" xfId="3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24" borderId="16" xfId="0" applyFont="1" applyFill="1" applyBorder="1" applyAlignment="1">
      <alignment horizontal="left" vertical="center" wrapText="1"/>
    </xf>
    <xf numFmtId="0" fontId="45" fillId="27" borderId="45" xfId="0" applyFont="1" applyFill="1" applyBorder="1"/>
    <xf numFmtId="0" fontId="46" fillId="0" borderId="16" xfId="0" applyFont="1" applyFill="1" applyBorder="1" applyAlignment="1">
      <alignment vertical="center" wrapText="1"/>
    </xf>
    <xf numFmtId="3" fontId="18" fillId="0" borderId="10" xfId="0" applyNumberFormat="1" applyFont="1" applyBorder="1"/>
    <xf numFmtId="3" fontId="62" fillId="0" borderId="31" xfId="0" applyNumberFormat="1" applyFont="1" applyBorder="1" applyAlignment="1">
      <alignment horizontal="right" vertical="center"/>
    </xf>
    <xf numFmtId="0" fontId="60" fillId="0" borderId="17" xfId="45" applyFont="1" applyBorder="1" applyAlignment="1">
      <alignment horizontal="center" vertical="center" wrapText="1"/>
    </xf>
    <xf numFmtId="3" fontId="122" fillId="29" borderId="17" xfId="0" applyNumberFormat="1" applyFont="1" applyFill="1" applyBorder="1" applyAlignment="1">
      <alignment horizontal="right"/>
    </xf>
    <xf numFmtId="3" fontId="62" fillId="0" borderId="31" xfId="0" applyNumberFormat="1" applyFont="1" applyBorder="1" applyAlignment="1">
      <alignment horizontal="right"/>
    </xf>
    <xf numFmtId="3" fontId="62" fillId="0" borderId="29" xfId="0" applyNumberFormat="1" applyFont="1" applyBorder="1" applyAlignment="1">
      <alignment horizontal="right"/>
    </xf>
    <xf numFmtId="3" fontId="122" fillId="24" borderId="17" xfId="0" applyNumberFormat="1" applyFont="1" applyFill="1" applyBorder="1" applyAlignment="1">
      <alignment horizontal="right"/>
    </xf>
    <xf numFmtId="0" fontId="143" fillId="0" borderId="0" xfId="0" applyFont="1" applyAlignment="1"/>
    <xf numFmtId="0" fontId="46" fillId="0" borderId="28" xfId="45" applyFont="1" applyFill="1" applyBorder="1" applyAlignment="1">
      <alignment horizontal="center" vertical="center" wrapText="1"/>
    </xf>
    <xf numFmtId="0" fontId="124" fillId="0" borderId="0" xfId="61" applyFont="1" applyFill="1" applyBorder="1" applyAlignment="1">
      <alignment horizontal="right"/>
    </xf>
    <xf numFmtId="0" fontId="124" fillId="0" borderId="0" xfId="64" applyFont="1" applyAlignment="1">
      <alignment horizontal="right"/>
    </xf>
    <xf numFmtId="0" fontId="62" fillId="0" borderId="10" xfId="49" applyFont="1" applyFill="1" applyBorder="1" applyAlignment="1">
      <alignment vertical="center" wrapText="1"/>
    </xf>
    <xf numFmtId="0" fontId="62" fillId="0" borderId="10" xfId="49" applyFont="1" applyFill="1" applyBorder="1" applyAlignment="1">
      <alignment horizontal="left" vertical="center" wrapText="1"/>
    </xf>
    <xf numFmtId="0" fontId="149" fillId="0" borderId="10" xfId="49" applyFont="1" applyFill="1" applyBorder="1" applyAlignment="1">
      <alignment horizontal="left" vertical="center" wrapText="1"/>
    </xf>
    <xf numFmtId="0" fontId="52" fillId="29" borderId="10" xfId="49" applyFont="1" applyFill="1" applyBorder="1" applyAlignment="1">
      <alignment horizontal="left" vertical="center" wrapText="1"/>
    </xf>
    <xf numFmtId="0" fontId="52" fillId="26" borderId="10" xfId="49" applyFont="1" applyFill="1" applyBorder="1" applyAlignment="1">
      <alignment horizontal="left" vertical="center" wrapText="1"/>
    </xf>
    <xf numFmtId="0" fontId="122" fillId="24" borderId="37" xfId="0" applyFont="1" applyFill="1" applyBorder="1" applyAlignment="1">
      <alignment horizontal="left" vertical="center" wrapText="1"/>
    </xf>
    <xf numFmtId="3" fontId="17" fillId="0" borderId="29" xfId="79" applyNumberFormat="1" applyFont="1" applyFill="1" applyBorder="1" applyAlignment="1">
      <alignment horizontal="right"/>
    </xf>
    <xf numFmtId="3" fontId="46" fillId="0" borderId="29" xfId="79" applyNumberFormat="1" applyFont="1" applyFill="1" applyBorder="1" applyAlignment="1">
      <alignment horizontal="right"/>
    </xf>
    <xf numFmtId="3" fontId="95" fillId="0" borderId="29" xfId="45" applyNumberFormat="1" applyFont="1" applyFill="1" applyBorder="1" applyAlignment="1">
      <alignment horizontal="right"/>
    </xf>
    <xf numFmtId="3" fontId="17" fillId="26" borderId="29" xfId="45" applyNumberFormat="1" applyFont="1" applyFill="1" applyBorder="1" applyAlignment="1">
      <alignment horizontal="right"/>
    </xf>
    <xf numFmtId="3" fontId="46" fillId="28" borderId="29" xfId="0" applyNumberFormat="1" applyFont="1" applyFill="1" applyBorder="1" applyAlignment="1">
      <alignment horizontal="right"/>
    </xf>
    <xf numFmtId="3" fontId="46" fillId="0" borderId="29" xfId="45" applyNumberFormat="1" applyFont="1" applyBorder="1" applyAlignment="1">
      <alignment horizontal="right"/>
    </xf>
    <xf numFmtId="3" fontId="17" fillId="0" borderId="29" xfId="45" applyNumberFormat="1" applyFont="1" applyBorder="1" applyAlignment="1">
      <alignment horizontal="right"/>
    </xf>
    <xf numFmtId="3" fontId="17" fillId="27" borderId="29" xfId="0" applyNumberFormat="1" applyFont="1" applyFill="1" applyBorder="1" applyAlignment="1">
      <alignment horizontal="right"/>
    </xf>
    <xf numFmtId="3" fontId="17" fillId="27" borderId="38" xfId="0" applyNumberFormat="1" applyFont="1" applyFill="1" applyBorder="1" applyAlignment="1">
      <alignment horizontal="right"/>
    </xf>
    <xf numFmtId="3" fontId="98" fillId="0" borderId="29" xfId="49" applyNumberFormat="1" applyFont="1" applyBorder="1"/>
    <xf numFmtId="0" fontId="98" fillId="0" borderId="29" xfId="49" applyFont="1" applyBorder="1"/>
    <xf numFmtId="3" fontId="99" fillId="29" borderId="29" xfId="49" applyNumberFormat="1" applyFont="1" applyFill="1" applyBorder="1"/>
    <xf numFmtId="3" fontId="98" fillId="0" borderId="29" xfId="49" applyNumberFormat="1" applyFont="1" applyFill="1" applyBorder="1"/>
    <xf numFmtId="3" fontId="135" fillId="0" borderId="29" xfId="49" applyNumberFormat="1" applyFont="1" applyFill="1" applyBorder="1"/>
    <xf numFmtId="3" fontId="99" fillId="26" borderId="29" xfId="49" applyNumberFormat="1" applyFont="1" applyFill="1" applyBorder="1"/>
    <xf numFmtId="3" fontId="136" fillId="24" borderId="38" xfId="49" applyNumberFormat="1" applyFont="1" applyFill="1" applyBorder="1"/>
    <xf numFmtId="0" fontId="53" fillId="0" borderId="17" xfId="45" applyFont="1" applyBorder="1" applyAlignment="1">
      <alignment horizontal="center" vertical="center" wrapText="1"/>
    </xf>
    <xf numFmtId="3" fontId="103" fillId="0" borderId="31" xfId="45" applyNumberFormat="1" applyFont="1" applyBorder="1"/>
    <xf numFmtId="3" fontId="137" fillId="0" borderId="17" xfId="45" applyNumberFormat="1" applyFont="1" applyBorder="1"/>
    <xf numFmtId="3" fontId="133" fillId="0" borderId="29" xfId="45" applyNumberFormat="1" applyFont="1" applyFill="1" applyBorder="1"/>
    <xf numFmtId="3" fontId="104" fillId="24" borderId="17" xfId="45" applyNumberFormat="1" applyFont="1" applyFill="1" applyBorder="1"/>
    <xf numFmtId="3" fontId="133" fillId="0" borderId="17" xfId="45" applyNumberFormat="1" applyFont="1" applyFill="1" applyBorder="1"/>
    <xf numFmtId="3" fontId="133" fillId="0" borderId="17" xfId="45" applyNumberFormat="1" applyFont="1" applyBorder="1"/>
    <xf numFmtId="3" fontId="103" fillId="0" borderId="31" xfId="45" applyNumberFormat="1" applyFont="1" applyFill="1" applyBorder="1"/>
    <xf numFmtId="3" fontId="103" fillId="0" borderId="17" xfId="45" applyNumberFormat="1" applyFont="1" applyFill="1" applyBorder="1"/>
    <xf numFmtId="0" fontId="77" fillId="0" borderId="28" xfId="0" applyFont="1" applyFill="1" applyBorder="1" applyAlignment="1">
      <alignment horizontal="left" vertical="center" wrapText="1"/>
    </xf>
    <xf numFmtId="3" fontId="103" fillId="0" borderId="29" xfId="45" applyNumberFormat="1" applyFont="1" applyFill="1" applyBorder="1" applyAlignment="1">
      <alignment horizontal="right" vertical="center" wrapText="1"/>
    </xf>
    <xf numFmtId="0" fontId="17" fillId="0" borderId="58" xfId="49" applyFont="1" applyBorder="1" applyAlignment="1">
      <alignment horizontal="center" vertical="center" wrapText="1"/>
    </xf>
    <xf numFmtId="3" fontId="98" fillId="0" borderId="16" xfId="49" applyNumberFormat="1" applyFont="1" applyBorder="1"/>
    <xf numFmtId="0" fontId="98" fillId="0" borderId="16" xfId="49" applyFont="1" applyBorder="1"/>
    <xf numFmtId="3" fontId="99" fillId="29" borderId="16" xfId="49" applyNumberFormat="1" applyFont="1" applyFill="1" applyBorder="1"/>
    <xf numFmtId="3" fontId="98" fillId="0" borderId="16" xfId="49" applyNumberFormat="1" applyFont="1" applyFill="1" applyBorder="1"/>
    <xf numFmtId="3" fontId="135" fillId="0" borderId="16" xfId="49" applyNumberFormat="1" applyFont="1" applyFill="1" applyBorder="1"/>
    <xf numFmtId="3" fontId="99" fillId="26" borderId="16" xfId="49" applyNumberFormat="1" applyFont="1" applyFill="1" applyBorder="1"/>
    <xf numFmtId="3" fontId="136" fillId="24" borderId="45" xfId="49" applyNumberFormat="1" applyFont="1" applyFill="1" applyBorder="1"/>
    <xf numFmtId="0" fontId="17" fillId="0" borderId="55" xfId="49" applyFont="1" applyBorder="1" applyAlignment="1">
      <alignment horizontal="center" vertical="center" wrapText="1"/>
    </xf>
    <xf numFmtId="3" fontId="98" fillId="0" borderId="40" xfId="49" applyNumberFormat="1" applyFont="1" applyBorder="1"/>
    <xf numFmtId="0" fontId="98" fillId="0" borderId="40" xfId="49" applyFont="1" applyBorder="1"/>
    <xf numFmtId="3" fontId="99" fillId="29" borderId="40" xfId="49" applyNumberFormat="1" applyFont="1" applyFill="1" applyBorder="1"/>
    <xf numFmtId="3" fontId="98" fillId="0" borderId="40" xfId="49" applyNumberFormat="1" applyFont="1" applyFill="1" applyBorder="1"/>
    <xf numFmtId="3" fontId="135" fillId="0" borderId="40" xfId="49" applyNumberFormat="1" applyFont="1" applyFill="1" applyBorder="1"/>
    <xf numFmtId="3" fontId="99" fillId="26" borderId="40" xfId="49" applyNumberFormat="1" applyFont="1" applyFill="1" applyBorder="1"/>
    <xf numFmtId="3" fontId="136" fillId="24" borderId="66" xfId="49" applyNumberFormat="1" applyFont="1" applyFill="1" applyBorder="1"/>
    <xf numFmtId="0" fontId="17" fillId="0" borderId="47" xfId="49" applyFont="1" applyBorder="1" applyAlignment="1">
      <alignment horizontal="center" vertical="center" wrapText="1"/>
    </xf>
    <xf numFmtId="3" fontId="98" fillId="0" borderId="28" xfId="49" applyNumberFormat="1" applyFont="1" applyBorder="1"/>
    <xf numFmtId="0" fontId="98" fillId="0" borderId="28" xfId="49" applyFont="1" applyBorder="1"/>
    <xf numFmtId="3" fontId="99" fillId="29" borderId="28" xfId="49" applyNumberFormat="1" applyFont="1" applyFill="1" applyBorder="1"/>
    <xf numFmtId="3" fontId="98" fillId="0" borderId="28" xfId="49" applyNumberFormat="1" applyFont="1" applyFill="1" applyBorder="1"/>
    <xf numFmtId="3" fontId="135" fillId="0" borderId="28" xfId="49" applyNumberFormat="1" applyFont="1" applyFill="1" applyBorder="1"/>
    <xf numFmtId="3" fontId="99" fillId="26" borderId="28" xfId="49" applyNumberFormat="1" applyFont="1" applyFill="1" applyBorder="1"/>
    <xf numFmtId="3" fontId="136" fillId="24" borderId="36" xfId="49" applyNumberFormat="1" applyFont="1" applyFill="1" applyBorder="1"/>
    <xf numFmtId="3" fontId="150" fillId="0" borderId="10" xfId="67" applyNumberFormat="1" applyFont="1" applyFill="1" applyBorder="1" applyAlignment="1">
      <alignment horizontal="right" vertical="center"/>
    </xf>
    <xf numFmtId="3" fontId="150" fillId="0" borderId="29" xfId="67" applyNumberFormat="1" applyFont="1" applyFill="1" applyBorder="1" applyAlignment="1">
      <alignment horizontal="right" vertical="center"/>
    </xf>
    <xf numFmtId="3" fontId="150" fillId="0" borderId="10" xfId="0" applyNumberFormat="1" applyFont="1" applyFill="1" applyBorder="1" applyAlignment="1">
      <alignment horizontal="right" vertical="center"/>
    </xf>
    <xf numFmtId="3" fontId="151" fillId="29" borderId="10" xfId="0" applyNumberFormat="1" applyFont="1" applyFill="1" applyBorder="1" applyAlignment="1">
      <alignment horizontal="right" vertical="center"/>
    </xf>
    <xf numFmtId="3" fontId="151" fillId="29" borderId="29" xfId="0" applyNumberFormat="1" applyFont="1" applyFill="1" applyBorder="1" applyAlignment="1">
      <alignment horizontal="right" vertical="center"/>
    </xf>
    <xf numFmtId="3" fontId="150" fillId="0" borderId="29" xfId="0" applyNumberFormat="1" applyFont="1" applyFill="1" applyBorder="1" applyAlignment="1">
      <alignment horizontal="right" vertical="center"/>
    </xf>
    <xf numFmtId="3" fontId="151" fillId="29" borderId="24" xfId="0" applyNumberFormat="1" applyFont="1" applyFill="1" applyBorder="1" applyAlignment="1">
      <alignment horizontal="right" vertical="center"/>
    </xf>
    <xf numFmtId="3" fontId="151" fillId="29" borderId="30" xfId="0" applyNumberFormat="1" applyFont="1" applyFill="1" applyBorder="1" applyAlignment="1">
      <alignment horizontal="right" vertical="center"/>
    </xf>
    <xf numFmtId="3" fontId="151" fillId="24" borderId="19" xfId="0" applyNumberFormat="1" applyFont="1" applyFill="1" applyBorder="1" applyAlignment="1">
      <alignment horizontal="right" vertical="center"/>
    </xf>
    <xf numFmtId="3" fontId="151" fillId="24" borderId="17" xfId="0" applyNumberFormat="1" applyFont="1" applyFill="1" applyBorder="1" applyAlignment="1">
      <alignment horizontal="right" vertical="center"/>
    </xf>
    <xf numFmtId="0" fontId="146" fillId="0" borderId="0" xfId="0" applyFont="1" applyAlignment="1">
      <alignment horizontal="center" wrapText="1"/>
    </xf>
    <xf numFmtId="0" fontId="147" fillId="0" borderId="0" xfId="0" applyFont="1" applyAlignment="1">
      <alignment horizontal="center" wrapText="1"/>
    </xf>
    <xf numFmtId="0" fontId="55" fillId="0" borderId="25" xfId="76" applyFont="1" applyFill="1" applyBorder="1" applyAlignment="1">
      <alignment horizontal="justify" wrapText="1"/>
    </xf>
    <xf numFmtId="0" fontId="14" fillId="0" borderId="10" xfId="76" applyFont="1" applyFill="1" applyBorder="1" applyAlignment="1">
      <alignment horizontal="justify" wrapText="1"/>
    </xf>
    <xf numFmtId="3" fontId="14" fillId="0" borderId="10" xfId="76" applyNumberFormat="1" applyFont="1" applyFill="1" applyBorder="1" applyAlignment="1">
      <alignment horizontal="right" wrapText="1"/>
    </xf>
    <xf numFmtId="0" fontId="10" fillId="0" borderId="0" xfId="76" applyFont="1" applyAlignment="1"/>
    <xf numFmtId="3" fontId="14" fillId="0" borderId="0" xfId="76" applyNumberFormat="1" applyFont="1" applyFill="1" applyBorder="1" applyAlignment="1">
      <alignment horizontal="right" wrapText="1"/>
    </xf>
    <xf numFmtId="0" fontId="60" fillId="0" borderId="10" xfId="76" applyFont="1" applyFill="1" applyBorder="1" applyAlignment="1">
      <alignment horizontal="justify" wrapText="1"/>
    </xf>
    <xf numFmtId="0" fontId="9" fillId="0" borderId="10" xfId="76" applyFont="1" applyFill="1" applyBorder="1" applyAlignment="1">
      <alignment horizontal="justify" wrapText="1"/>
    </xf>
    <xf numFmtId="3" fontId="9" fillId="0" borderId="10" xfId="76" applyNumberFormat="1" applyFont="1" applyFill="1" applyBorder="1" applyAlignment="1">
      <alignment horizontal="right" wrapText="1"/>
    </xf>
    <xf numFmtId="0" fontId="10" fillId="0" borderId="0" xfId="76" applyFont="1" applyBorder="1" applyAlignment="1"/>
    <xf numFmtId="0" fontId="55" fillId="0" borderId="10" xfId="76" applyFont="1" applyFill="1" applyBorder="1" applyAlignment="1">
      <alignment horizontal="justify" wrapText="1"/>
    </xf>
    <xf numFmtId="0" fontId="9" fillId="0" borderId="39" xfId="76" applyFont="1" applyFill="1" applyBorder="1" applyAlignment="1">
      <alignment horizontal="justify" wrapText="1"/>
    </xf>
    <xf numFmtId="3" fontId="9" fillId="0" borderId="12" xfId="76" applyNumberFormat="1" applyFont="1" applyFill="1" applyBorder="1" applyAlignment="1">
      <alignment horizontal="right" wrapText="1"/>
    </xf>
    <xf numFmtId="0" fontId="14" fillId="0" borderId="13" xfId="50" applyFont="1" applyBorder="1" applyAlignment="1">
      <alignment horizontal="justify" wrapText="1"/>
    </xf>
    <xf numFmtId="164" fontId="14" fillId="0" borderId="14" xfId="26" applyNumberFormat="1" applyFont="1" applyBorder="1" applyAlignment="1">
      <alignment horizontal="right" wrapText="1"/>
    </xf>
    <xf numFmtId="0" fontId="55" fillId="0" borderId="13" xfId="50" applyFont="1" applyBorder="1" applyAlignment="1">
      <alignment horizontal="justify" wrapText="1"/>
    </xf>
    <xf numFmtId="164" fontId="14" fillId="0" borderId="12" xfId="26" applyNumberFormat="1" applyFont="1" applyBorder="1" applyAlignment="1">
      <alignment horizontal="right" wrapText="1"/>
    </xf>
    <xf numFmtId="0" fontId="60" fillId="0" borderId="10" xfId="76" applyFont="1" applyBorder="1" applyAlignment="1">
      <alignment horizontal="justify" wrapText="1"/>
    </xf>
    <xf numFmtId="0" fontId="9" fillId="0" borderId="40" xfId="76" applyFont="1" applyBorder="1" applyAlignment="1">
      <alignment horizontal="justify" wrapText="1"/>
    </xf>
    <xf numFmtId="3" fontId="9" fillId="0" borderId="10" xfId="76" applyNumberFormat="1" applyFont="1" applyBorder="1" applyAlignment="1">
      <alignment horizontal="right"/>
    </xf>
    <xf numFmtId="0" fontId="55" fillId="0" borderId="10" xfId="76" applyFont="1" applyBorder="1" applyAlignment="1">
      <alignment horizontal="justify" wrapText="1"/>
    </xf>
    <xf numFmtId="0" fontId="14" fillId="0" borderId="40" xfId="76" applyFont="1" applyBorder="1" applyAlignment="1">
      <alignment horizontal="justify" wrapText="1"/>
    </xf>
    <xf numFmtId="3" fontId="14" fillId="0" borderId="10" xfId="76" applyNumberFormat="1" applyFont="1" applyBorder="1" applyAlignment="1">
      <alignment horizontal="right"/>
    </xf>
    <xf numFmtId="0" fontId="60" fillId="0" borderId="10" xfId="76" applyFont="1" applyBorder="1" applyAlignment="1">
      <alignment horizontal="center" wrapText="1"/>
    </xf>
    <xf numFmtId="0" fontId="14" fillId="0" borderId="40" xfId="76" applyFont="1" applyBorder="1" applyAlignment="1">
      <alignment horizontal="center" wrapText="1"/>
    </xf>
    <xf numFmtId="0" fontId="10" fillId="0" borderId="0" xfId="76" applyFont="1" applyAlignment="1">
      <alignment horizontal="center"/>
    </xf>
    <xf numFmtId="0" fontId="10" fillId="0" borderId="0" xfId="76" applyFont="1" applyBorder="1" applyAlignment="1">
      <alignment horizontal="center"/>
    </xf>
    <xf numFmtId="3" fontId="10" fillId="0" borderId="0" xfId="76" applyNumberFormat="1" applyFont="1" applyAlignment="1">
      <alignment vertical="center"/>
    </xf>
    <xf numFmtId="0" fontId="10" fillId="0" borderId="0" xfId="76" applyFont="1" applyAlignment="1">
      <alignment vertical="center"/>
    </xf>
    <xf numFmtId="0" fontId="51" fillId="0" borderId="45" xfId="76" applyFont="1" applyFill="1" applyBorder="1" applyAlignment="1">
      <alignment vertical="center"/>
    </xf>
    <xf numFmtId="0" fontId="14" fillId="0" borderId="16" xfId="76" applyFont="1" applyBorder="1" applyAlignment="1">
      <alignment vertical="center" wrapText="1"/>
    </xf>
    <xf numFmtId="0" fontId="60" fillId="0" borderId="24" xfId="76" applyFont="1" applyBorder="1" applyAlignment="1">
      <alignment horizontal="left" vertical="center" wrapText="1"/>
    </xf>
    <xf numFmtId="0" fontId="9" fillId="0" borderId="0" xfId="76" applyFont="1" applyBorder="1" applyAlignment="1">
      <alignment horizontal="center" vertical="center" wrapText="1"/>
    </xf>
    <xf numFmtId="0" fontId="55" fillId="0" borderId="24" xfId="76" applyFont="1" applyBorder="1" applyAlignment="1">
      <alignment horizontal="left" vertical="center" wrapText="1"/>
    </xf>
    <xf numFmtId="3" fontId="103" fillId="0" borderId="25" xfId="45" applyNumberFormat="1" applyFont="1" applyFill="1" applyBorder="1"/>
    <xf numFmtId="3" fontId="17" fillId="0" borderId="40" xfId="0" applyNumberFormat="1" applyFont="1" applyBorder="1" applyAlignment="1">
      <alignment horizontal="right"/>
    </xf>
    <xf numFmtId="0" fontId="46" fillId="0" borderId="25" xfId="0" applyFont="1" applyFill="1" applyBorder="1" applyAlignment="1">
      <alignment vertical="center" wrapText="1"/>
    </xf>
    <xf numFmtId="3" fontId="103" fillId="0" borderId="25" xfId="45" applyNumberFormat="1" applyFont="1" applyBorder="1" applyAlignment="1">
      <alignment vertical="center"/>
    </xf>
    <xf numFmtId="0" fontId="15" fillId="0" borderId="0" xfId="45" applyFont="1" applyAlignment="1">
      <alignment vertical="center"/>
    </xf>
    <xf numFmtId="3" fontId="46" fillId="0" borderId="28" xfId="45" applyNumberFormat="1" applyFont="1" applyBorder="1" applyAlignment="1">
      <alignment vertical="center"/>
    </xf>
    <xf numFmtId="3" fontId="46" fillId="0" borderId="29" xfId="45" applyNumberFormat="1" applyFont="1" applyBorder="1" applyAlignment="1">
      <alignment vertical="center"/>
    </xf>
    <xf numFmtId="3" fontId="18" fillId="0" borderId="0" xfId="45" applyNumberFormat="1" applyFont="1" applyAlignment="1">
      <alignment vertical="center"/>
    </xf>
    <xf numFmtId="0" fontId="18" fillId="0" borderId="0" xfId="45" applyFont="1" applyAlignment="1">
      <alignment vertical="center"/>
    </xf>
    <xf numFmtId="3" fontId="99" fillId="0" borderId="0" xfId="45" applyNumberFormat="1" applyFont="1" applyFill="1" applyBorder="1" applyAlignment="1">
      <alignment horizontal="left" vertical="center"/>
    </xf>
    <xf numFmtId="0" fontId="18" fillId="0" borderId="16" xfId="45" applyFont="1" applyFill="1" applyBorder="1" applyAlignment="1">
      <alignment horizontal="left" vertical="center" wrapText="1"/>
    </xf>
    <xf numFmtId="0" fontId="45" fillId="26" borderId="16" xfId="45" applyFont="1" applyFill="1" applyBorder="1" applyAlignment="1">
      <alignment horizontal="left" vertical="center" wrapText="1"/>
    </xf>
    <xf numFmtId="0" fontId="45" fillId="28" borderId="16" xfId="0" applyFont="1" applyFill="1" applyBorder="1"/>
    <xf numFmtId="0" fontId="46" fillId="0" borderId="16" xfId="0" applyFont="1" applyFill="1" applyBorder="1" applyAlignment="1">
      <alignment horizontal="left" vertical="center"/>
    </xf>
    <xf numFmtId="0" fontId="45" fillId="24" borderId="16" xfId="45" applyFont="1" applyFill="1" applyBorder="1" applyAlignment="1">
      <alignment horizontal="left" vertical="center" wrapText="1"/>
    </xf>
    <xf numFmtId="3" fontId="46" fillId="0" borderId="40" xfId="45" applyNumberFormat="1" applyFont="1" applyBorder="1"/>
    <xf numFmtId="3" fontId="17" fillId="26" borderId="40" xfId="45" applyNumberFormat="1" applyFont="1" applyFill="1" applyBorder="1"/>
    <xf numFmtId="3" fontId="46" fillId="0" borderId="40" xfId="45" applyNumberFormat="1" applyFont="1" applyBorder="1" applyAlignment="1">
      <alignment vertical="center"/>
    </xf>
    <xf numFmtId="3" fontId="17" fillId="24" borderId="40" xfId="0" applyNumberFormat="1" applyFont="1" applyFill="1" applyBorder="1"/>
    <xf numFmtId="3" fontId="17" fillId="28" borderId="40" xfId="0" applyNumberFormat="1" applyFont="1" applyFill="1" applyBorder="1"/>
    <xf numFmtId="3" fontId="17" fillId="0" borderId="40" xfId="45" applyNumberFormat="1" applyFont="1" applyBorder="1"/>
    <xf numFmtId="3" fontId="17" fillId="24" borderId="40" xfId="45" applyNumberFormat="1" applyFont="1" applyFill="1" applyBorder="1"/>
    <xf numFmtId="3" fontId="17" fillId="27" borderId="66" xfId="0" applyNumberFormat="1" applyFont="1" applyFill="1" applyBorder="1"/>
    <xf numFmtId="3" fontId="46" fillId="0" borderId="16" xfId="45" applyNumberFormat="1" applyFont="1" applyBorder="1"/>
    <xf numFmtId="3" fontId="17" fillId="26" borderId="16" xfId="45" applyNumberFormat="1" applyFont="1" applyFill="1" applyBorder="1"/>
    <xf numFmtId="3" fontId="46" fillId="0" borderId="16" xfId="45" applyNumberFormat="1" applyFont="1" applyBorder="1" applyAlignment="1">
      <alignment vertical="center"/>
    </xf>
    <xf numFmtId="3" fontId="17" fillId="24" borderId="16" xfId="0" applyNumberFormat="1" applyFont="1" applyFill="1" applyBorder="1"/>
    <xf numFmtId="3" fontId="17" fillId="28" borderId="16" xfId="0" applyNumberFormat="1" applyFont="1" applyFill="1" applyBorder="1"/>
    <xf numFmtId="3" fontId="17" fillId="0" borderId="16" xfId="45" applyNumberFormat="1" applyFont="1" applyBorder="1"/>
    <xf numFmtId="3" fontId="17" fillId="24" borderId="16" xfId="45" applyNumberFormat="1" applyFont="1" applyFill="1" applyBorder="1"/>
    <xf numFmtId="3" fontId="17" fillId="27" borderId="45" xfId="0" applyNumberFormat="1" applyFont="1" applyFill="1" applyBorder="1"/>
    <xf numFmtId="0" fontId="18" fillId="0" borderId="27" xfId="45" applyFont="1" applyFill="1" applyBorder="1" applyAlignment="1">
      <alignment horizontal="left" vertical="center"/>
    </xf>
    <xf numFmtId="0" fontId="18" fillId="0" borderId="15" xfId="45" applyFont="1" applyFill="1" applyBorder="1" applyAlignment="1">
      <alignment horizontal="left" vertical="center" wrapText="1"/>
    </xf>
    <xf numFmtId="3" fontId="46" fillId="0" borderId="71" xfId="45" applyNumberFormat="1" applyFont="1" applyBorder="1"/>
    <xf numFmtId="3" fontId="46" fillId="0" borderId="15" xfId="45" applyNumberFormat="1" applyFont="1" applyBorder="1"/>
    <xf numFmtId="3" fontId="46" fillId="0" borderId="27" xfId="45" applyNumberFormat="1" applyFont="1" applyBorder="1"/>
    <xf numFmtId="3" fontId="46" fillId="0" borderId="31" xfId="45" applyNumberFormat="1" applyFont="1" applyBorder="1"/>
    <xf numFmtId="0" fontId="77" fillId="0" borderId="18" xfId="45" applyFont="1" applyFill="1" applyBorder="1" applyAlignment="1">
      <alignment horizontal="center" vertical="center" wrapText="1"/>
    </xf>
    <xf numFmtId="0" fontId="77" fillId="0" borderId="52" xfId="45" applyFont="1" applyFill="1" applyBorder="1" applyAlignment="1">
      <alignment horizontal="center" vertical="center"/>
    </xf>
    <xf numFmtId="0" fontId="77" fillId="0" borderId="18" xfId="45" applyFont="1" applyBorder="1" applyAlignment="1">
      <alignment horizontal="center" vertical="center" wrapText="1"/>
    </xf>
    <xf numFmtId="0" fontId="77" fillId="0" borderId="17" xfId="45" applyFont="1" applyBorder="1" applyAlignment="1">
      <alignment horizontal="center" vertical="center" wrapText="1"/>
    </xf>
    <xf numFmtId="0" fontId="77" fillId="0" borderId="20" xfId="45" applyFont="1" applyBorder="1" applyAlignment="1">
      <alignment horizontal="center" vertical="center" wrapText="1"/>
    </xf>
    <xf numFmtId="0" fontId="77" fillId="0" borderId="52" xfId="45" applyFont="1" applyBorder="1" applyAlignment="1">
      <alignment horizontal="center" vertical="center" wrapText="1"/>
    </xf>
    <xf numFmtId="167" fontId="46" fillId="0" borderId="27" xfId="0" applyNumberFormat="1" applyFont="1" applyFill="1" applyBorder="1" applyAlignment="1">
      <alignment vertical="center"/>
    </xf>
    <xf numFmtId="3" fontId="46" fillId="0" borderId="27" xfId="0" applyNumberFormat="1" applyFont="1" applyBorder="1" applyAlignment="1">
      <alignment horizontal="right"/>
    </xf>
    <xf numFmtId="3" fontId="46" fillId="0" borderId="31" xfId="0" applyNumberFormat="1" applyFont="1" applyBorder="1" applyAlignment="1">
      <alignment horizontal="right"/>
    </xf>
    <xf numFmtId="0" fontId="77" fillId="0" borderId="18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/>
    </xf>
    <xf numFmtId="1" fontId="46" fillId="34" borderId="10" xfId="81" applyNumberFormat="1" applyFont="1" applyFill="1" applyBorder="1" applyAlignment="1"/>
    <xf numFmtId="1" fontId="46" fillId="0" borderId="10" xfId="81" applyNumberFormat="1" applyFont="1" applyFill="1" applyBorder="1" applyAlignment="1">
      <alignment vertical="center"/>
    </xf>
    <xf numFmtId="1" fontId="46" fillId="0" borderId="10" xfId="81" applyNumberFormat="1" applyFont="1" applyFill="1" applyBorder="1" applyAlignment="1"/>
    <xf numFmtId="3" fontId="104" fillId="0" borderId="0" xfId="81" applyNumberFormat="1" applyFont="1" applyFill="1" applyAlignment="1">
      <alignment vertical="center"/>
    </xf>
    <xf numFmtId="0" fontId="17" fillId="0" borderId="16" xfId="45" applyFont="1" applyFill="1" applyBorder="1" applyAlignment="1">
      <alignment horizontal="left" vertical="center" wrapText="1"/>
    </xf>
    <xf numFmtId="0" fontId="95" fillId="0" borderId="16" xfId="0" applyFont="1" applyFill="1" applyBorder="1" applyAlignment="1">
      <alignment horizontal="left" vertical="center" wrapText="1"/>
    </xf>
    <xf numFmtId="0" fontId="17" fillId="26" borderId="16" xfId="45" applyFont="1" applyFill="1" applyBorder="1" applyAlignment="1">
      <alignment horizontal="left" vertical="center" wrapText="1"/>
    </xf>
    <xf numFmtId="0" fontId="17" fillId="28" borderId="16" xfId="0" applyFont="1" applyFill="1" applyBorder="1"/>
    <xf numFmtId="0" fontId="17" fillId="27" borderId="16" xfId="0" applyFont="1" applyFill="1" applyBorder="1"/>
    <xf numFmtId="0" fontId="17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left" vertical="center"/>
    </xf>
    <xf numFmtId="0" fontId="17" fillId="27" borderId="45" xfId="0" applyFont="1" applyFill="1" applyBorder="1"/>
    <xf numFmtId="0" fontId="17" fillId="0" borderId="27" xfId="45" applyFont="1" applyFill="1" applyBorder="1" applyAlignment="1">
      <alignment horizontal="left" vertical="center"/>
    </xf>
    <xf numFmtId="0" fontId="17" fillId="0" borderId="15" xfId="45" applyFont="1" applyFill="1" applyBorder="1" applyAlignment="1">
      <alignment horizontal="left" vertical="center" wrapText="1"/>
    </xf>
    <xf numFmtId="3" fontId="17" fillId="0" borderId="27" xfId="79" applyNumberFormat="1" applyFont="1" applyFill="1" applyBorder="1" applyAlignment="1">
      <alignment horizontal="right"/>
    </xf>
    <xf numFmtId="3" fontId="17" fillId="0" borderId="31" xfId="79" applyNumberFormat="1" applyFont="1" applyFill="1" applyBorder="1" applyAlignment="1">
      <alignment horizontal="right"/>
    </xf>
    <xf numFmtId="0" fontId="17" fillId="0" borderId="18" xfId="45" applyFont="1" applyFill="1" applyBorder="1" applyAlignment="1">
      <alignment horizontal="center" vertical="center" wrapText="1"/>
    </xf>
    <xf numFmtId="0" fontId="17" fillId="0" borderId="52" xfId="45" applyFont="1" applyFill="1" applyBorder="1" applyAlignment="1">
      <alignment horizontal="center" vertical="center"/>
    </xf>
    <xf numFmtId="0" fontId="17" fillId="0" borderId="17" xfId="45" applyFont="1" applyFill="1" applyBorder="1" applyAlignment="1">
      <alignment horizontal="center" vertical="center" wrapText="1"/>
    </xf>
    <xf numFmtId="0" fontId="14" fillId="0" borderId="25" xfId="67" applyFont="1" applyBorder="1" applyAlignment="1">
      <alignment vertical="center" wrapText="1"/>
    </xf>
    <xf numFmtId="3" fontId="13" fillId="0" borderId="0" xfId="0" applyNumberFormat="1" applyFont="1" applyAlignment="1">
      <alignment vertical="center"/>
    </xf>
    <xf numFmtId="3" fontId="16" fillId="0" borderId="0" xfId="0" applyNumberFormat="1" applyFont="1"/>
    <xf numFmtId="0" fontId="104" fillId="0" borderId="0" xfId="46" applyFont="1" applyAlignment="1">
      <alignment horizontal="center"/>
    </xf>
    <xf numFmtId="0" fontId="101" fillId="0" borderId="0" xfId="58" applyFont="1" applyBorder="1" applyAlignment="1">
      <alignment horizontal="center" wrapText="1"/>
    </xf>
    <xf numFmtId="0" fontId="77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3" fontId="18" fillId="0" borderId="29" xfId="0" applyNumberFormat="1" applyFont="1" applyBorder="1"/>
    <xf numFmtId="0" fontId="45" fillId="0" borderId="10" xfId="0" applyFont="1" applyFill="1" applyBorder="1" applyAlignment="1">
      <alignment horizontal="left" vertical="center" wrapText="1"/>
    </xf>
    <xf numFmtId="3" fontId="45" fillId="0" borderId="10" xfId="0" applyNumberFormat="1" applyFont="1" applyBorder="1"/>
    <xf numFmtId="3" fontId="45" fillId="0" borderId="29" xfId="0" applyNumberFormat="1" applyFont="1" applyBorder="1"/>
    <xf numFmtId="0" fontId="18" fillId="0" borderId="10" xfId="79" applyFont="1" applyFill="1" applyBorder="1" applyAlignment="1">
      <alignment horizontal="left" vertical="center" wrapText="1"/>
    </xf>
    <xf numFmtId="0" fontId="45" fillId="26" borderId="10" xfId="0" applyFont="1" applyFill="1" applyBorder="1" applyAlignment="1">
      <alignment horizontal="left" vertical="center" wrapText="1"/>
    </xf>
    <xf numFmtId="3" fontId="45" fillId="26" borderId="10" xfId="0" applyNumberFormat="1" applyFont="1" applyFill="1" applyBorder="1"/>
    <xf numFmtId="3" fontId="45" fillId="26" borderId="29" xfId="0" applyNumberFormat="1" applyFont="1" applyFill="1" applyBorder="1"/>
    <xf numFmtId="3" fontId="45" fillId="24" borderId="10" xfId="0" applyNumberFormat="1" applyFont="1" applyFill="1" applyBorder="1"/>
    <xf numFmtId="3" fontId="45" fillId="24" borderId="29" xfId="0" applyNumberFormat="1" applyFont="1" applyFill="1" applyBorder="1"/>
    <xf numFmtId="0" fontId="18" fillId="28" borderId="10" xfId="0" applyFont="1" applyFill="1" applyBorder="1"/>
    <xf numFmtId="3" fontId="18" fillId="28" borderId="10" xfId="0" applyNumberFormat="1" applyFont="1" applyFill="1" applyBorder="1"/>
    <xf numFmtId="3" fontId="18" fillId="28" borderId="29" xfId="0" applyNumberFormat="1" applyFont="1" applyFill="1" applyBorder="1"/>
    <xf numFmtId="0" fontId="17" fillId="24" borderId="10" xfId="0" applyFont="1" applyFill="1" applyBorder="1" applyAlignment="1">
      <alignment horizontal="left" vertical="center"/>
    </xf>
    <xf numFmtId="0" fontId="45" fillId="27" borderId="37" xfId="0" applyFont="1" applyFill="1" applyBorder="1"/>
    <xf numFmtId="3" fontId="45" fillId="27" borderId="37" xfId="0" applyNumberFormat="1" applyFont="1" applyFill="1" applyBorder="1"/>
    <xf numFmtId="3" fontId="45" fillId="27" borderId="38" xfId="0" applyNumberFormat="1" applyFont="1" applyFill="1" applyBorder="1"/>
    <xf numFmtId="0" fontId="77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/>
    </xf>
    <xf numFmtId="0" fontId="46" fillId="26" borderId="10" xfId="0" applyFont="1" applyFill="1" applyBorder="1" applyAlignment="1">
      <alignment horizontal="left" vertical="center" wrapText="1"/>
    </xf>
    <xf numFmtId="3" fontId="18" fillId="26" borderId="10" xfId="0" applyNumberFormat="1" applyFont="1" applyFill="1" applyBorder="1"/>
    <xf numFmtId="3" fontId="46" fillId="0" borderId="10" xfId="0" applyNumberFormat="1" applyFont="1" applyFill="1" applyBorder="1" applyAlignment="1">
      <alignment horizontal="right" vertical="center" wrapText="1"/>
    </xf>
    <xf numFmtId="3" fontId="46" fillId="0" borderId="10" xfId="0" applyNumberFormat="1" applyFont="1" applyFill="1" applyBorder="1" applyAlignment="1">
      <alignment horizontal="left" vertical="center" wrapText="1"/>
    </xf>
    <xf numFmtId="3" fontId="46" fillId="0" borderId="10" xfId="0" applyNumberFormat="1" applyFont="1" applyFill="1" applyBorder="1" applyAlignment="1">
      <alignment horizontal="right" vertical="center"/>
    </xf>
    <xf numFmtId="3" fontId="46" fillId="0" borderId="10" xfId="0" applyNumberFormat="1" applyFont="1" applyFill="1" applyBorder="1" applyAlignment="1">
      <alignment horizontal="left" vertical="center"/>
    </xf>
    <xf numFmtId="0" fontId="77" fillId="0" borderId="29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right" vertical="center" wrapText="1"/>
    </xf>
    <xf numFmtId="0" fontId="76" fillId="0" borderId="10" xfId="0" applyFont="1" applyFill="1" applyBorder="1" applyAlignment="1">
      <alignment horizontal="right" vertical="center" wrapText="1"/>
    </xf>
    <xf numFmtId="0" fontId="54" fillId="0" borderId="10" xfId="0" applyFont="1" applyFill="1" applyBorder="1" applyAlignment="1">
      <alignment horizontal="right" vertical="center" wrapText="1"/>
    </xf>
    <xf numFmtId="0" fontId="77" fillId="0" borderId="10" xfId="0" applyFont="1" applyFill="1" applyBorder="1" applyAlignment="1">
      <alignment vertical="center" wrapText="1"/>
    </xf>
    <xf numFmtId="0" fontId="76" fillId="0" borderId="10" xfId="85" applyFont="1" applyFill="1" applyBorder="1" applyAlignment="1">
      <alignment vertical="center" wrapText="1"/>
    </xf>
    <xf numFmtId="3" fontId="77" fillId="0" borderId="10" xfId="0" applyNumberFormat="1" applyFont="1" applyBorder="1" applyAlignment="1"/>
    <xf numFmtId="3" fontId="77" fillId="26" borderId="10" xfId="0" applyNumberFormat="1" applyFont="1" applyFill="1" applyBorder="1" applyAlignment="1"/>
    <xf numFmtId="3" fontId="77" fillId="24" borderId="10" xfId="0" applyNumberFormat="1" applyFont="1" applyFill="1" applyBorder="1" applyAlignment="1"/>
    <xf numFmtId="3" fontId="76" fillId="28" borderId="10" xfId="0" applyNumberFormat="1" applyFont="1" applyFill="1" applyBorder="1" applyAlignment="1"/>
    <xf numFmtId="0" fontId="54" fillId="0" borderId="10" xfId="0" applyFont="1" applyFill="1" applyBorder="1" applyAlignment="1">
      <alignment horizontal="right" vertical="center"/>
    </xf>
    <xf numFmtId="0" fontId="76" fillId="0" borderId="10" xfId="0" applyFont="1" applyFill="1" applyBorder="1" applyAlignment="1">
      <alignment horizontal="right" vertical="center"/>
    </xf>
    <xf numFmtId="0" fontId="77" fillId="0" borderId="29" xfId="0" applyFont="1" applyBorder="1" applyAlignment="1">
      <alignment horizontal="center" vertical="center" wrapText="1"/>
    </xf>
    <xf numFmtId="3" fontId="18" fillId="26" borderId="29" xfId="0" applyNumberFormat="1" applyFont="1" applyFill="1" applyBorder="1"/>
    <xf numFmtId="3" fontId="46" fillId="0" borderId="29" xfId="0" applyNumberFormat="1" applyFont="1" applyFill="1" applyBorder="1" applyAlignment="1">
      <alignment horizontal="right" vertical="center" wrapText="1"/>
    </xf>
    <xf numFmtId="3" fontId="46" fillId="0" borderId="29" xfId="0" applyNumberFormat="1" applyFont="1" applyFill="1" applyBorder="1" applyAlignment="1">
      <alignment horizontal="right" vertical="center"/>
    </xf>
    <xf numFmtId="0" fontId="12" fillId="0" borderId="10" xfId="0" applyFont="1" applyBorder="1"/>
    <xf numFmtId="0" fontId="16" fillId="0" borderId="29" xfId="0" applyFont="1" applyFill="1" applyBorder="1" applyAlignment="1">
      <alignment horizontal="center" vertical="center" wrapText="1"/>
    </xf>
    <xf numFmtId="3" fontId="77" fillId="27" borderId="37" xfId="0" applyNumberFormat="1" applyFont="1" applyFill="1" applyBorder="1" applyAlignment="1"/>
    <xf numFmtId="3" fontId="52" fillId="0" borderId="19" xfId="46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46" fillId="0" borderId="12" xfId="0" applyFont="1" applyFill="1" applyBorder="1" applyAlignment="1">
      <alignment horizontal="right" vertical="center" wrapText="1"/>
    </xf>
    <xf numFmtId="0" fontId="18" fillId="0" borderId="12" xfId="0" applyFont="1" applyFill="1" applyBorder="1" applyAlignment="1">
      <alignment horizontal="right" vertical="center"/>
    </xf>
    <xf numFmtId="0" fontId="9" fillId="0" borderId="25" xfId="76" applyFont="1" applyFill="1" applyBorder="1" applyAlignment="1">
      <alignment horizontal="center" vertical="center" wrapText="1"/>
    </xf>
    <xf numFmtId="0" fontId="65" fillId="0" borderId="42" xfId="76" applyFont="1" applyBorder="1" applyAlignment="1">
      <alignment horizontal="justify" vertical="center" wrapText="1"/>
    </xf>
    <xf numFmtId="3" fontId="65" fillId="0" borderId="24" xfId="76" applyNumberFormat="1" applyFont="1" applyBorder="1" applyAlignment="1">
      <alignment horizontal="right" vertical="center"/>
    </xf>
    <xf numFmtId="3" fontId="106" fillId="0" borderId="25" xfId="27" applyNumberFormat="1" applyFont="1" applyFill="1" applyBorder="1" applyAlignment="1">
      <alignment horizontal="right"/>
    </xf>
    <xf numFmtId="0" fontId="52" fillId="0" borderId="10" xfId="46" applyFont="1" applyFill="1" applyBorder="1" applyAlignment="1">
      <alignment horizontal="center" vertical="center" wrapText="1"/>
    </xf>
    <xf numFmtId="0" fontId="18" fillId="34" borderId="24" xfId="76" applyFont="1" applyFill="1" applyBorder="1" applyAlignment="1">
      <alignment horizontal="justify" vertical="center" wrapText="1"/>
    </xf>
    <xf numFmtId="166" fontId="46" fillId="34" borderId="24" xfId="81" applyNumberFormat="1" applyFont="1" applyFill="1" applyBorder="1" applyAlignment="1"/>
    <xf numFmtId="1" fontId="46" fillId="34" borderId="24" xfId="81" applyNumberFormat="1" applyFont="1" applyFill="1" applyBorder="1" applyAlignment="1"/>
    <xf numFmtId="3" fontId="9" fillId="0" borderId="59" xfId="81" applyNumberFormat="1" applyFont="1" applyFill="1" applyBorder="1" applyAlignment="1">
      <alignment horizontal="right"/>
    </xf>
    <xf numFmtId="3" fontId="46" fillId="0" borderId="10" xfId="78" applyNumberFormat="1" applyFont="1" applyFill="1" applyBorder="1" applyAlignment="1">
      <alignment horizontal="right" vertical="center"/>
    </xf>
    <xf numFmtId="3" fontId="62" fillId="0" borderId="29" xfId="0" applyNumberFormat="1" applyFont="1" applyFill="1" applyBorder="1" applyAlignment="1">
      <alignment horizontal="right" vertical="center"/>
    </xf>
    <xf numFmtId="49" fontId="77" fillId="24" borderId="19" xfId="0" applyNumberFormat="1" applyFont="1" applyFill="1" applyBorder="1" applyAlignment="1">
      <alignment horizontal="center" vertical="center"/>
    </xf>
    <xf numFmtId="167" fontId="76" fillId="0" borderId="19" xfId="0" applyNumberFormat="1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vertical="center"/>
    </xf>
    <xf numFmtId="3" fontId="62" fillId="0" borderId="19" xfId="0" applyNumberFormat="1" applyFont="1" applyBorder="1" applyAlignment="1">
      <alignment horizontal="right" vertical="center"/>
    </xf>
    <xf numFmtId="3" fontId="62" fillId="0" borderId="17" xfId="0" applyNumberFormat="1" applyFont="1" applyBorder="1" applyAlignment="1">
      <alignment horizontal="right" vertical="center"/>
    </xf>
    <xf numFmtId="0" fontId="155" fillId="0" borderId="16" xfId="67" applyFont="1" applyFill="1" applyBorder="1" applyAlignment="1">
      <alignment horizontal="left" vertical="center" wrapText="1"/>
    </xf>
    <xf numFmtId="0" fontId="155" fillId="0" borderId="28" xfId="67" applyFont="1" applyFill="1" applyBorder="1" applyAlignment="1">
      <alignment horizontal="center" vertical="center" wrapText="1"/>
    </xf>
    <xf numFmtId="0" fontId="155" fillId="0" borderId="16" xfId="67" applyFont="1" applyFill="1" applyBorder="1" applyAlignment="1">
      <alignment vertical="center" wrapText="1"/>
    </xf>
    <xf numFmtId="0" fontId="156" fillId="29" borderId="28" xfId="0" applyFont="1" applyFill="1" applyBorder="1" applyAlignment="1">
      <alignment horizontal="center" vertical="center"/>
    </xf>
    <xf numFmtId="165" fontId="156" fillId="29" borderId="16" xfId="0" applyNumberFormat="1" applyFont="1" applyFill="1" applyBorder="1" applyAlignment="1">
      <alignment horizontal="left" vertical="center"/>
    </xf>
    <xf numFmtId="0" fontId="155" fillId="34" borderId="28" xfId="0" applyFont="1" applyFill="1" applyBorder="1" applyAlignment="1">
      <alignment horizontal="center" vertical="center"/>
    </xf>
    <xf numFmtId="165" fontId="155" fillId="0" borderId="16" xfId="0" applyNumberFormat="1" applyFont="1" applyFill="1" applyBorder="1" applyAlignment="1">
      <alignment horizontal="left" vertical="center" wrapText="1"/>
    </xf>
    <xf numFmtId="0" fontId="155" fillId="0" borderId="28" xfId="0" applyFont="1" applyBorder="1" applyAlignment="1">
      <alignment horizontal="center" vertical="center"/>
    </xf>
    <xf numFmtId="0" fontId="155" fillId="0" borderId="16" xfId="60" applyFont="1" applyFill="1" applyBorder="1" applyAlignment="1">
      <alignment vertical="center" wrapText="1"/>
    </xf>
    <xf numFmtId="165" fontId="155" fillId="34" borderId="16" xfId="0" applyNumberFormat="1" applyFont="1" applyFill="1" applyBorder="1" applyAlignment="1">
      <alignment horizontal="left" vertical="center"/>
    </xf>
    <xf numFmtId="165" fontId="155" fillId="0" borderId="16" xfId="0" applyNumberFormat="1" applyFont="1" applyFill="1" applyBorder="1" applyAlignment="1">
      <alignment horizontal="left" vertical="center"/>
    </xf>
    <xf numFmtId="0" fontId="155" fillId="34" borderId="42" xfId="67" applyFont="1" applyFill="1" applyBorder="1" applyAlignment="1">
      <alignment horizontal="left" vertical="center"/>
    </xf>
    <xf numFmtId="165" fontId="155" fillId="34" borderId="16" xfId="0" applyNumberFormat="1" applyFont="1" applyFill="1" applyBorder="1" applyAlignment="1">
      <alignment horizontal="left" vertical="center" wrapText="1"/>
    </xf>
    <xf numFmtId="165" fontId="156" fillId="29" borderId="42" xfId="0" applyNumberFormat="1" applyFont="1" applyFill="1" applyBorder="1" applyAlignment="1">
      <alignment horizontal="left" vertical="center"/>
    </xf>
    <xf numFmtId="3" fontId="156" fillId="24" borderId="18" xfId="0" applyNumberFormat="1" applyFont="1" applyFill="1" applyBorder="1" applyAlignment="1">
      <alignment horizontal="center" vertical="center"/>
    </xf>
    <xf numFmtId="165" fontId="156" fillId="24" borderId="52" xfId="0" applyNumberFormat="1" applyFont="1" applyFill="1" applyBorder="1" applyAlignment="1">
      <alignment horizontal="left" vertical="center"/>
    </xf>
    <xf numFmtId="0" fontId="104" fillId="0" borderId="10" xfId="46" applyFont="1" applyBorder="1" applyAlignment="1">
      <alignment vertical="center"/>
    </xf>
    <xf numFmtId="0" fontId="103" fillId="0" borderId="10" xfId="46" applyFont="1" applyBorder="1" applyAlignment="1">
      <alignment vertical="center"/>
    </xf>
    <xf numFmtId="2" fontId="103" fillId="0" borderId="10" xfId="46" applyNumberFormat="1" applyFont="1" applyBorder="1" applyAlignment="1">
      <alignment vertical="center"/>
    </xf>
    <xf numFmtId="2" fontId="103" fillId="0" borderId="10" xfId="46" applyNumberFormat="1" applyFont="1" applyBorder="1" applyAlignment="1">
      <alignment vertical="center" wrapText="1"/>
    </xf>
    <xf numFmtId="0" fontId="104" fillId="0" borderId="10" xfId="46" applyFont="1" applyBorder="1" applyAlignment="1">
      <alignment vertical="center" wrapText="1"/>
    </xf>
    <xf numFmtId="0" fontId="103" fillId="0" borderId="10" xfId="46" applyFont="1" applyBorder="1" applyAlignment="1">
      <alignment vertical="center" wrapText="1"/>
    </xf>
    <xf numFmtId="2" fontId="104" fillId="0" borderId="10" xfId="46" applyNumberFormat="1" applyFont="1" applyBorder="1" applyAlignment="1">
      <alignment vertical="center"/>
    </xf>
    <xf numFmtId="0" fontId="103" fillId="0" borderId="10" xfId="46" applyFont="1" applyFill="1" applyBorder="1" applyAlignment="1">
      <alignment vertical="center" wrapText="1"/>
    </xf>
    <xf numFmtId="2" fontId="103" fillId="0" borderId="10" xfId="46" applyNumberFormat="1" applyFont="1" applyFill="1" applyBorder="1" applyAlignment="1">
      <alignment vertical="center"/>
    </xf>
    <xf numFmtId="2" fontId="103" fillId="0" borderId="10" xfId="46" applyNumberFormat="1" applyFont="1" applyFill="1" applyBorder="1" applyAlignment="1">
      <alignment vertical="center" wrapText="1"/>
    </xf>
    <xf numFmtId="0" fontId="103" fillId="0" borderId="10" xfId="46" applyFont="1" applyFill="1" applyBorder="1" applyAlignment="1">
      <alignment horizontal="right" vertical="center" wrapText="1"/>
    </xf>
    <xf numFmtId="0" fontId="103" fillId="0" borderId="10" xfId="46" applyFont="1" applyFill="1" applyBorder="1" applyAlignment="1">
      <alignment horizontal="left" vertical="center"/>
    </xf>
    <xf numFmtId="0" fontId="104" fillId="0" borderId="10" xfId="46" applyFont="1" applyFill="1" applyBorder="1" applyAlignment="1">
      <alignment horizontal="left" vertical="center"/>
    </xf>
    <xf numFmtId="2" fontId="104" fillId="0" borderId="10" xfId="46" applyNumberFormat="1" applyFont="1" applyFill="1" applyBorder="1" applyAlignment="1">
      <alignment vertical="center"/>
    </xf>
    <xf numFmtId="0" fontId="103" fillId="0" borderId="0" xfId="46" applyFont="1"/>
    <xf numFmtId="0" fontId="103" fillId="0" borderId="0" xfId="46" applyFont="1" applyAlignment="1">
      <alignment vertical="center"/>
    </xf>
    <xf numFmtId="0" fontId="103" fillId="0" borderId="0" xfId="46" applyFont="1" applyAlignment="1">
      <alignment wrapText="1"/>
    </xf>
    <xf numFmtId="0" fontId="104" fillId="0" borderId="10" xfId="71" applyFont="1" applyBorder="1" applyAlignment="1">
      <alignment vertical="center"/>
    </xf>
    <xf numFmtId="0" fontId="104" fillId="0" borderId="24" xfId="71" applyFont="1" applyBorder="1" applyAlignment="1">
      <alignment vertical="center"/>
    </xf>
    <xf numFmtId="2" fontId="103" fillId="0" borderId="10" xfId="46" applyNumberFormat="1" applyFont="1" applyBorder="1" applyAlignment="1">
      <alignment horizontal="right" vertical="center"/>
    </xf>
    <xf numFmtId="0" fontId="103" fillId="0" borderId="10" xfId="71" applyFont="1" applyBorder="1" applyAlignment="1">
      <alignment vertical="center"/>
    </xf>
    <xf numFmtId="0" fontId="104" fillId="0" borderId="0" xfId="46" applyFont="1" applyAlignment="1"/>
    <xf numFmtId="0" fontId="103" fillId="0" borderId="0" xfId="46" applyFont="1" applyFill="1" applyBorder="1"/>
    <xf numFmtId="3" fontId="103" fillId="0" borderId="0" xfId="46" applyNumberFormat="1" applyFont="1" applyFill="1" applyBorder="1"/>
    <xf numFmtId="0" fontId="103" fillId="0" borderId="0" xfId="64" applyFont="1" applyBorder="1" applyAlignment="1">
      <alignment horizontal="right"/>
    </xf>
    <xf numFmtId="0" fontId="104" fillId="0" borderId="0" xfId="46" applyFont="1" applyFill="1" applyAlignment="1">
      <alignment vertical="center"/>
    </xf>
    <xf numFmtId="0" fontId="104" fillId="0" borderId="0" xfId="46" applyFont="1" applyFill="1" applyBorder="1" applyAlignment="1">
      <alignment vertical="center"/>
    </xf>
    <xf numFmtId="3" fontId="104" fillId="0" borderId="0" xfId="46" applyNumberFormat="1" applyFont="1" applyFill="1" applyBorder="1" applyAlignment="1">
      <alignment vertical="center"/>
    </xf>
    <xf numFmtId="0" fontId="103" fillId="0" borderId="0" xfId="46" applyFont="1" applyFill="1" applyAlignment="1">
      <alignment vertical="center"/>
    </xf>
    <xf numFmtId="3" fontId="103" fillId="0" borderId="0" xfId="46" applyNumberFormat="1" applyFont="1" applyFill="1" applyAlignment="1">
      <alignment vertical="center"/>
    </xf>
    <xf numFmtId="0" fontId="103" fillId="0" borderId="0" xfId="46" applyFont="1" applyFill="1"/>
    <xf numFmtId="0" fontId="104" fillId="0" borderId="0" xfId="46" applyFont="1" applyFill="1"/>
    <xf numFmtId="0" fontId="104" fillId="0" borderId="0" xfId="46" applyFont="1"/>
    <xf numFmtId="0" fontId="103" fillId="0" borderId="0" xfId="46" applyFont="1" applyBorder="1"/>
    <xf numFmtId="3" fontId="103" fillId="0" borderId="0" xfId="46" applyNumberFormat="1" applyFont="1" applyBorder="1"/>
    <xf numFmtId="3" fontId="103" fillId="0" borderId="0" xfId="46" applyNumberFormat="1" applyFont="1"/>
    <xf numFmtId="3" fontId="52" fillId="0" borderId="29" xfId="0" applyNumberFormat="1" applyFont="1" applyBorder="1" applyAlignment="1">
      <alignment horizontal="right"/>
    </xf>
    <xf numFmtId="0" fontId="52" fillId="0" borderId="33" xfId="67" applyFont="1" applyFill="1" applyBorder="1" applyAlignment="1">
      <alignment horizontal="center" vertical="center" wrapText="1"/>
    </xf>
    <xf numFmtId="0" fontId="145" fillId="0" borderId="34" xfId="45" applyFont="1" applyFill="1" applyBorder="1" applyAlignment="1">
      <alignment horizontal="center" vertical="center" wrapText="1"/>
    </xf>
    <xf numFmtId="0" fontId="145" fillId="0" borderId="35" xfId="45" applyFont="1" applyFill="1" applyBorder="1" applyAlignment="1">
      <alignment horizontal="center" vertical="center" wrapText="1"/>
    </xf>
    <xf numFmtId="0" fontId="156" fillId="0" borderId="16" xfId="67" applyFont="1" applyFill="1" applyBorder="1" applyAlignment="1">
      <alignment vertical="center" wrapText="1"/>
    </xf>
    <xf numFmtId="0" fontId="104" fillId="36" borderId="10" xfId="58" applyFont="1" applyFill="1" applyBorder="1" applyAlignment="1">
      <alignment vertical="center"/>
    </xf>
    <xf numFmtId="2" fontId="99" fillId="36" borderId="10" xfId="58" applyNumberFormat="1" applyFont="1" applyFill="1" applyBorder="1" applyAlignment="1">
      <alignment vertical="center"/>
    </xf>
    <xf numFmtId="1" fontId="45" fillId="0" borderId="47" xfId="55" applyNumberFormat="1" applyFont="1" applyBorder="1" applyAlignment="1">
      <alignment horizontal="center"/>
    </xf>
    <xf numFmtId="1" fontId="45" fillId="0" borderId="44" xfId="55" applyNumberFormat="1" applyFont="1" applyBorder="1" applyAlignment="1">
      <alignment horizontal="center"/>
    </xf>
    <xf numFmtId="1" fontId="45" fillId="0" borderId="51" xfId="55" applyNumberFormat="1" applyFont="1" applyBorder="1" applyAlignment="1">
      <alignment horizontal="center"/>
    </xf>
    <xf numFmtId="0" fontId="46" fillId="0" borderId="28" xfId="70" applyFont="1" applyBorder="1"/>
    <xf numFmtId="1" fontId="18" fillId="0" borderId="29" xfId="55" applyNumberFormat="1" applyFont="1" applyBorder="1"/>
    <xf numFmtId="169" fontId="45" fillId="0" borderId="29" xfId="55" applyNumberFormat="1" applyFont="1" applyBorder="1"/>
    <xf numFmtId="169" fontId="45" fillId="34" borderId="29" xfId="55" applyNumberFormat="1" applyFont="1" applyFill="1" applyBorder="1"/>
    <xf numFmtId="1" fontId="46" fillId="0" borderId="10" xfId="55" applyNumberFormat="1" applyFont="1" applyBorder="1"/>
    <xf numFmtId="169" fontId="18" fillId="0" borderId="10" xfId="31" applyNumberFormat="1" applyFont="1" applyBorder="1"/>
    <xf numFmtId="169" fontId="18" fillId="0" borderId="29" xfId="31" applyNumberFormat="1" applyFont="1" applyFill="1" applyBorder="1"/>
    <xf numFmtId="0" fontId="46" fillId="0" borderId="77" xfId="70" applyFont="1" applyBorder="1"/>
    <xf numFmtId="1" fontId="45" fillId="0" borderId="77" xfId="55" applyNumberFormat="1" applyFont="1" applyBorder="1"/>
    <xf numFmtId="169" fontId="18" fillId="0" borderId="77" xfId="55" applyNumberFormat="1" applyFont="1" applyBorder="1"/>
    <xf numFmtId="0" fontId="46" fillId="0" borderId="47" xfId="70" applyFont="1" applyBorder="1"/>
    <xf numFmtId="1" fontId="45" fillId="0" borderId="44" xfId="55" applyNumberFormat="1" applyFont="1" applyBorder="1"/>
    <xf numFmtId="169" fontId="18" fillId="0" borderId="44" xfId="55" applyNumberFormat="1" applyFont="1" applyBorder="1"/>
    <xf numFmtId="169" fontId="18" fillId="0" borderId="51" xfId="55" applyNumberFormat="1" applyFont="1" applyBorder="1"/>
    <xf numFmtId="169" fontId="17" fillId="0" borderId="29" xfId="55" applyNumberFormat="1" applyFont="1" applyBorder="1"/>
    <xf numFmtId="0" fontId="46" fillId="0" borderId="46" xfId="70" applyFont="1" applyBorder="1"/>
    <xf numFmtId="1" fontId="18" fillId="0" borderId="46" xfId="55" applyNumberFormat="1" applyFont="1" applyBorder="1"/>
    <xf numFmtId="169" fontId="18" fillId="0" borderId="46" xfId="55" applyNumberFormat="1" applyFont="1" applyBorder="1"/>
    <xf numFmtId="0" fontId="46" fillId="37" borderId="36" xfId="70" applyFont="1" applyFill="1" applyBorder="1"/>
    <xf numFmtId="1" fontId="45" fillId="37" borderId="37" xfId="55" applyNumberFormat="1" applyFont="1" applyFill="1" applyBorder="1"/>
    <xf numFmtId="169" fontId="45" fillId="37" borderId="37" xfId="31" applyNumberFormat="1" applyFont="1" applyFill="1" applyBorder="1"/>
    <xf numFmtId="169" fontId="45" fillId="37" borderId="38" xfId="31" applyNumberFormat="1" applyFont="1" applyFill="1" applyBorder="1"/>
    <xf numFmtId="0" fontId="17" fillId="0" borderId="17" xfId="46" applyFont="1" applyBorder="1" applyAlignment="1">
      <alignment horizontal="center" vertical="center" wrapText="1"/>
    </xf>
    <xf numFmtId="3" fontId="45" fillId="0" borderId="31" xfId="54" applyNumberFormat="1" applyFont="1" applyBorder="1"/>
    <xf numFmtId="3" fontId="18" fillId="0" borderId="29" xfId="54" applyNumberFormat="1" applyFont="1" applyFill="1" applyBorder="1"/>
    <xf numFmtId="3" fontId="45" fillId="0" borderId="29" xfId="54" applyNumberFormat="1" applyFont="1" applyBorder="1"/>
    <xf numFmtId="3" fontId="59" fillId="26" borderId="29" xfId="54" applyNumberFormat="1" applyFont="1" applyFill="1" applyBorder="1"/>
    <xf numFmtId="3" fontId="45" fillId="24" borderId="29" xfId="54" applyNumberFormat="1" applyFont="1" applyFill="1" applyBorder="1"/>
    <xf numFmtId="3" fontId="18" fillId="0" borderId="29" xfId="54" applyNumberFormat="1" applyFont="1" applyBorder="1" applyAlignment="1">
      <alignment horizontal="right"/>
    </xf>
    <xf numFmtId="3" fontId="46" fillId="0" borderId="29" xfId="54" applyNumberFormat="1" applyFont="1" applyFill="1" applyBorder="1" applyAlignment="1">
      <alignment horizontal="right" vertical="center"/>
    </xf>
    <xf numFmtId="3" fontId="17" fillId="0" borderId="29" xfId="54" applyNumberFormat="1" applyFont="1" applyFill="1" applyBorder="1" applyAlignment="1">
      <alignment horizontal="right" vertical="center"/>
    </xf>
    <xf numFmtId="3" fontId="17" fillId="24" borderId="29" xfId="54" applyNumberFormat="1" applyFont="1" applyFill="1" applyBorder="1" applyAlignment="1">
      <alignment horizontal="right" vertical="center"/>
    </xf>
    <xf numFmtId="3" fontId="95" fillId="27" borderId="38" xfId="54" applyNumberFormat="1" applyFont="1" applyFill="1" applyBorder="1" applyAlignment="1">
      <alignment horizontal="right" vertical="center" wrapText="1"/>
    </xf>
    <xf numFmtId="0" fontId="45" fillId="0" borderId="20" xfId="54" applyFont="1" applyFill="1" applyBorder="1" applyAlignment="1">
      <alignment horizontal="center" vertical="center"/>
    </xf>
    <xf numFmtId="0" fontId="45" fillId="0" borderId="71" xfId="54" applyFont="1" applyFill="1" applyBorder="1" applyAlignment="1">
      <alignment vertical="center" wrapText="1"/>
    </xf>
    <xf numFmtId="0" fontId="45" fillId="0" borderId="40" xfId="54" applyFont="1" applyFill="1" applyBorder="1" applyAlignment="1">
      <alignment horizontal="left" vertical="center" wrapText="1"/>
    </xf>
    <xf numFmtId="0" fontId="17" fillId="0" borderId="40" xfId="54" applyFont="1" applyFill="1" applyBorder="1" applyAlignment="1">
      <alignment horizontal="left" vertical="center" wrapText="1"/>
    </xf>
    <xf numFmtId="0" fontId="46" fillId="0" borderId="40" xfId="54" applyFont="1" applyFill="1" applyBorder="1" applyAlignment="1">
      <alignment vertical="center" wrapText="1"/>
    </xf>
    <xf numFmtId="0" fontId="46" fillId="0" borderId="40" xfId="54" applyFont="1" applyFill="1" applyBorder="1" applyAlignment="1">
      <alignment vertical="center"/>
    </xf>
    <xf numFmtId="0" fontId="94" fillId="26" borderId="40" xfId="54" applyFont="1" applyFill="1" applyBorder="1"/>
    <xf numFmtId="0" fontId="45" fillId="0" borderId="40" xfId="54" applyFont="1" applyFill="1" applyBorder="1" applyAlignment="1">
      <alignment horizontal="left" vertical="center"/>
    </xf>
    <xf numFmtId="0" fontId="45" fillId="24" borderId="40" xfId="54" applyFont="1" applyFill="1" applyBorder="1" applyAlignment="1">
      <alignment horizontal="left" vertical="center"/>
    </xf>
    <xf numFmtId="0" fontId="46" fillId="0" borderId="40" xfId="54" applyFont="1" applyFill="1" applyBorder="1" applyAlignment="1">
      <alignment horizontal="left" vertical="center" wrapText="1"/>
    </xf>
    <xf numFmtId="0" fontId="46" fillId="0" borderId="40" xfId="54" applyFont="1" applyFill="1" applyBorder="1" applyAlignment="1">
      <alignment horizontal="left" vertical="center"/>
    </xf>
    <xf numFmtId="0" fontId="17" fillId="0" borderId="40" xfId="54" applyFont="1" applyFill="1" applyBorder="1" applyAlignment="1">
      <alignment horizontal="left" vertical="center"/>
    </xf>
    <xf numFmtId="0" fontId="17" fillId="24" borderId="40" xfId="54" applyFont="1" applyFill="1" applyBorder="1" applyAlignment="1">
      <alignment horizontal="left" vertical="center"/>
    </xf>
    <xf numFmtId="0" fontId="45" fillId="27" borderId="66" xfId="54" applyFont="1" applyFill="1" applyBorder="1"/>
    <xf numFmtId="3" fontId="18" fillId="0" borderId="29" xfId="54" applyNumberFormat="1" applyFont="1" applyBorder="1"/>
    <xf numFmtId="3" fontId="45" fillId="0" borderId="29" xfId="54" applyNumberFormat="1" applyFont="1" applyFill="1" applyBorder="1"/>
    <xf numFmtId="3" fontId="59" fillId="27" borderId="38" xfId="54" applyNumberFormat="1" applyFont="1" applyFill="1" applyBorder="1"/>
    <xf numFmtId="0" fontId="104" fillId="38" borderId="10" xfId="46" applyFont="1" applyFill="1" applyBorder="1" applyAlignment="1">
      <alignment horizontal="left" vertical="center"/>
    </xf>
    <xf numFmtId="2" fontId="104" fillId="38" borderId="10" xfId="46" applyNumberFormat="1" applyFont="1" applyFill="1" applyBorder="1" applyAlignment="1">
      <alignment horizontal="right" vertical="center"/>
    </xf>
    <xf numFmtId="1" fontId="14" fillId="0" borderId="33" xfId="67" applyNumberFormat="1" applyFont="1" applyFill="1" applyBorder="1" applyAlignment="1">
      <alignment horizontal="center" vertical="center"/>
    </xf>
    <xf numFmtId="0" fontId="13" fillId="0" borderId="34" xfId="67" applyFont="1" applyFill="1" applyBorder="1" applyAlignment="1">
      <alignment vertical="center" wrapText="1"/>
    </xf>
    <xf numFmtId="3" fontId="46" fillId="0" borderId="34" xfId="67" applyNumberFormat="1" applyFont="1" applyFill="1" applyBorder="1" applyAlignment="1">
      <alignment vertical="center"/>
    </xf>
    <xf numFmtId="3" fontId="46" fillId="0" borderId="35" xfId="67" applyNumberFormat="1" applyFont="1" applyFill="1" applyBorder="1" applyAlignment="1">
      <alignment vertical="center"/>
    </xf>
    <xf numFmtId="0" fontId="9" fillId="0" borderId="40" xfId="76" applyFont="1" applyBorder="1" applyAlignment="1">
      <alignment horizontal="center" vertical="center" wrapText="1"/>
    </xf>
    <xf numFmtId="0" fontId="9" fillId="0" borderId="34" xfId="76" applyFont="1" applyBorder="1" applyAlignment="1">
      <alignment horizontal="center" vertical="center" wrapText="1"/>
    </xf>
    <xf numFmtId="3" fontId="46" fillId="0" borderId="27" xfId="45" applyNumberFormat="1" applyFont="1" applyFill="1" applyBorder="1"/>
    <xf numFmtId="3" fontId="46" fillId="0" borderId="31" xfId="45" applyNumberFormat="1" applyFont="1" applyFill="1" applyBorder="1"/>
    <xf numFmtId="3" fontId="46" fillId="0" borderId="28" xfId="45" applyNumberFormat="1" applyFont="1" applyFill="1" applyBorder="1"/>
    <xf numFmtId="3" fontId="46" fillId="0" borderId="29" xfId="45" applyNumberFormat="1" applyFont="1" applyFill="1" applyBorder="1"/>
    <xf numFmtId="3" fontId="46" fillId="0" borderId="29" xfId="45" applyNumberFormat="1" applyFont="1" applyFill="1" applyBorder="1" applyAlignment="1">
      <alignment vertical="center"/>
    </xf>
    <xf numFmtId="0" fontId="17" fillId="0" borderId="47" xfId="81" applyFont="1" applyFill="1" applyBorder="1" applyAlignment="1">
      <alignment horizontal="center" vertical="center" wrapText="1"/>
    </xf>
    <xf numFmtId="0" fontId="17" fillId="0" borderId="44" xfId="81" applyFont="1" applyFill="1" applyBorder="1" applyAlignment="1">
      <alignment horizontal="center" vertical="center" wrapText="1"/>
    </xf>
    <xf numFmtId="166" fontId="17" fillId="0" borderId="44" xfId="81" applyNumberFormat="1" applyFont="1" applyFill="1" applyBorder="1" applyAlignment="1">
      <alignment horizontal="center" vertical="center" wrapText="1"/>
    </xf>
    <xf numFmtId="0" fontId="17" fillId="0" borderId="51" xfId="81" applyFont="1" applyFill="1" applyBorder="1" applyAlignment="1">
      <alignment horizontal="center" vertical="center" wrapText="1"/>
    </xf>
    <xf numFmtId="0" fontId="46" fillId="34" borderId="28" xfId="81" applyFont="1" applyFill="1" applyBorder="1" applyAlignment="1">
      <alignment vertical="center"/>
    </xf>
    <xf numFmtId="3" fontId="46" fillId="34" borderId="29" xfId="81" applyNumberFormat="1" applyFont="1" applyFill="1" applyBorder="1" applyAlignment="1"/>
    <xf numFmtId="0" fontId="46" fillId="34" borderId="32" xfId="81" applyFont="1" applyFill="1" applyBorder="1" applyAlignment="1">
      <alignment vertical="center"/>
    </xf>
    <xf numFmtId="3" fontId="46" fillId="34" borderId="30" xfId="81" applyNumberFormat="1" applyFont="1" applyFill="1" applyBorder="1" applyAlignment="1"/>
    <xf numFmtId="0" fontId="46" fillId="34" borderId="18" xfId="81" applyFont="1" applyFill="1" applyBorder="1" applyAlignment="1">
      <alignment vertical="center"/>
    </xf>
    <xf numFmtId="3" fontId="17" fillId="34" borderId="17" xfId="81" applyNumberFormat="1" applyFont="1" applyFill="1" applyBorder="1" applyAlignment="1">
      <alignment vertical="center"/>
    </xf>
    <xf numFmtId="0" fontId="46" fillId="34" borderId="47" xfId="81" applyFont="1" applyFill="1" applyBorder="1" applyAlignment="1">
      <alignment vertical="center" wrapText="1"/>
    </xf>
    <xf numFmtId="0" fontId="17" fillId="34" borderId="44" xfId="81" applyFont="1" applyFill="1" applyBorder="1" applyAlignment="1">
      <alignment vertical="center" wrapText="1"/>
    </xf>
    <xf numFmtId="166" fontId="46" fillId="34" borderId="44" xfId="81" applyNumberFormat="1" applyFont="1" applyFill="1" applyBorder="1" applyAlignment="1"/>
    <xf numFmtId="3" fontId="46" fillId="34" borderId="44" xfId="81" applyNumberFormat="1" applyFont="1" applyFill="1" applyBorder="1" applyAlignment="1"/>
    <xf numFmtId="3" fontId="46" fillId="34" borderId="51" xfId="81" applyNumberFormat="1" applyFont="1" applyFill="1" applyBorder="1" applyAlignment="1"/>
    <xf numFmtId="0" fontId="46" fillId="34" borderId="28" xfId="81" applyFont="1" applyFill="1" applyBorder="1" applyAlignment="1">
      <alignment vertical="center" wrapText="1"/>
    </xf>
    <xf numFmtId="0" fontId="46" fillId="34" borderId="32" xfId="81" applyFont="1" applyFill="1" applyBorder="1" applyAlignment="1">
      <alignment vertical="center" wrapText="1"/>
    </xf>
    <xf numFmtId="0" fontId="46" fillId="34" borderId="18" xfId="81" applyFont="1" applyFill="1" applyBorder="1" applyAlignment="1">
      <alignment vertical="center" wrapText="1"/>
    </xf>
    <xf numFmtId="3" fontId="17" fillId="34" borderId="17" xfId="81" applyNumberFormat="1" applyFont="1" applyFill="1" applyBorder="1" applyAlignment="1">
      <alignment horizontal="right" vertical="center"/>
    </xf>
    <xf numFmtId="0" fontId="46" fillId="34" borderId="36" xfId="81" applyFont="1" applyFill="1" applyBorder="1" applyAlignment="1">
      <alignment vertical="center"/>
    </xf>
    <xf numFmtId="0" fontId="17" fillId="32" borderId="37" xfId="81" applyFont="1" applyFill="1" applyBorder="1" applyAlignment="1">
      <alignment vertical="center" wrapText="1"/>
    </xf>
    <xf numFmtId="166" fontId="17" fillId="32" borderId="37" xfId="81" applyNumberFormat="1" applyFont="1" applyFill="1" applyBorder="1" applyAlignment="1">
      <alignment vertical="center"/>
    </xf>
    <xf numFmtId="3" fontId="17" fillId="32" borderId="37" xfId="81" applyNumberFormat="1" applyFont="1" applyFill="1" applyBorder="1" applyAlignment="1">
      <alignment vertical="center"/>
    </xf>
    <xf numFmtId="3" fontId="17" fillId="32" borderId="38" xfId="81" applyNumberFormat="1" applyFont="1" applyFill="1" applyBorder="1" applyAlignment="1">
      <alignment vertical="center"/>
    </xf>
    <xf numFmtId="3" fontId="46" fillId="0" borderId="29" xfId="81" applyNumberFormat="1" applyFont="1" applyFill="1" applyBorder="1" applyAlignment="1">
      <alignment vertical="center"/>
    </xf>
    <xf numFmtId="0" fontId="46" fillId="0" borderId="36" xfId="81" applyFont="1" applyFill="1" applyBorder="1" applyAlignment="1">
      <alignment vertical="center"/>
    </xf>
    <xf numFmtId="0" fontId="46" fillId="34" borderId="27" xfId="81" applyFont="1" applyFill="1" applyBorder="1" applyAlignment="1">
      <alignment vertical="center"/>
    </xf>
    <xf numFmtId="0" fontId="46" fillId="34" borderId="25" xfId="81" applyFont="1" applyFill="1" applyBorder="1" applyAlignment="1">
      <alignment horizontal="left" vertical="top" wrapText="1"/>
    </xf>
    <xf numFmtId="166" fontId="46" fillId="34" borderId="25" xfId="81" applyNumberFormat="1" applyFont="1" applyFill="1" applyBorder="1" applyAlignment="1"/>
    <xf numFmtId="3" fontId="46" fillId="34" borderId="25" xfId="81" applyNumberFormat="1" applyFont="1" applyFill="1" applyBorder="1" applyAlignment="1"/>
    <xf numFmtId="3" fontId="46" fillId="34" borderId="31" xfId="81" applyNumberFormat="1" applyFont="1" applyFill="1" applyBorder="1" applyAlignment="1"/>
    <xf numFmtId="0" fontId="46" fillId="0" borderId="25" xfId="81" applyFont="1" applyFill="1" applyBorder="1" applyAlignment="1">
      <alignment vertical="center" wrapText="1"/>
    </xf>
    <xf numFmtId="1" fontId="46" fillId="0" borderId="25" xfId="81" applyNumberFormat="1" applyFont="1" applyFill="1" applyBorder="1" applyAlignment="1">
      <alignment vertical="center"/>
    </xf>
    <xf numFmtId="3" fontId="46" fillId="0" borderId="25" xfId="81" applyNumberFormat="1" applyFont="1" applyFill="1" applyBorder="1" applyAlignment="1">
      <alignment vertical="center"/>
    </xf>
    <xf numFmtId="3" fontId="46" fillId="0" borderId="31" xfId="81" applyNumberFormat="1" applyFont="1" applyFill="1" applyBorder="1" applyAlignment="1">
      <alignment vertical="center"/>
    </xf>
    <xf numFmtId="0" fontId="46" fillId="34" borderId="57" xfId="81" applyFont="1" applyFill="1" applyBorder="1" applyAlignment="1">
      <alignment vertical="center"/>
    </xf>
    <xf numFmtId="0" fontId="104" fillId="0" borderId="57" xfId="81" applyFont="1" applyFill="1" applyBorder="1" applyAlignment="1">
      <alignment vertical="center" wrapText="1"/>
    </xf>
    <xf numFmtId="166" fontId="17" fillId="0" borderId="57" xfId="81" applyNumberFormat="1" applyFont="1" applyFill="1" applyBorder="1" applyAlignment="1">
      <alignment vertical="center"/>
    </xf>
    <xf numFmtId="3" fontId="17" fillId="0" borderId="57" xfId="81" applyNumberFormat="1" applyFont="1" applyFill="1" applyBorder="1" applyAlignment="1">
      <alignment vertical="center"/>
    </xf>
    <xf numFmtId="0" fontId="46" fillId="0" borderId="78" xfId="81" applyFont="1" applyFill="1" applyBorder="1" applyAlignment="1">
      <alignment vertical="center"/>
    </xf>
    <xf numFmtId="0" fontId="46" fillId="0" borderId="79" xfId="84" applyFont="1" applyFill="1" applyBorder="1" applyAlignment="1">
      <alignment horizontal="justify" vertical="center" wrapText="1"/>
    </xf>
    <xf numFmtId="1" fontId="46" fillId="0" borderId="19" xfId="81" applyNumberFormat="1" applyFont="1" applyFill="1" applyBorder="1" applyAlignment="1"/>
    <xf numFmtId="3" fontId="46" fillId="0" borderId="19" xfId="81" applyNumberFormat="1" applyFont="1" applyFill="1" applyBorder="1" applyAlignment="1"/>
    <xf numFmtId="3" fontId="46" fillId="0" borderId="17" xfId="81" applyNumberFormat="1" applyFont="1" applyFill="1" applyBorder="1" applyAlignment="1"/>
    <xf numFmtId="0" fontId="17" fillId="0" borderId="77" xfId="81" applyFont="1" applyFill="1" applyBorder="1" applyAlignment="1">
      <alignment vertical="center"/>
    </xf>
    <xf numFmtId="0" fontId="17" fillId="34" borderId="77" xfId="84" applyFont="1" applyFill="1" applyBorder="1" applyAlignment="1">
      <alignment horizontal="justify" vertical="center" wrapText="1"/>
    </xf>
    <xf numFmtId="166" fontId="17" fillId="34" borderId="77" xfId="81" applyNumberFormat="1" applyFont="1" applyFill="1" applyBorder="1" applyAlignment="1"/>
    <xf numFmtId="3" fontId="17" fillId="34" borderId="77" xfId="81" applyNumberFormat="1" applyFont="1" applyFill="1" applyBorder="1" applyAlignment="1"/>
    <xf numFmtId="3" fontId="17" fillId="0" borderId="0" xfId="81" applyNumberFormat="1" applyFont="1" applyFill="1" applyBorder="1" applyAlignment="1">
      <alignment horizontal="right"/>
    </xf>
    <xf numFmtId="0" fontId="46" fillId="0" borderId="47" xfId="81" applyFont="1" applyFill="1" applyBorder="1" applyAlignment="1">
      <alignment vertical="center"/>
    </xf>
    <xf numFmtId="0" fontId="46" fillId="0" borderId="44" xfId="84" applyFont="1" applyFill="1" applyBorder="1" applyAlignment="1">
      <alignment vertical="center" wrapText="1"/>
    </xf>
    <xf numFmtId="166" fontId="46" fillId="0" borderId="44" xfId="81" applyNumberFormat="1" applyFont="1" applyFill="1" applyBorder="1" applyAlignment="1"/>
    <xf numFmtId="3" fontId="46" fillId="0" borderId="44" xfId="81" applyNumberFormat="1" applyFont="1" applyFill="1" applyBorder="1" applyAlignment="1"/>
    <xf numFmtId="3" fontId="46" fillId="0" borderId="51" xfId="81" applyNumberFormat="1" applyFont="1" applyFill="1" applyBorder="1" applyAlignment="1"/>
    <xf numFmtId="0" fontId="46" fillId="0" borderId="28" xfId="81" applyFont="1" applyFill="1" applyBorder="1" applyAlignment="1">
      <alignment vertical="center"/>
    </xf>
    <xf numFmtId="3" fontId="46" fillId="0" borderId="29" xfId="81" applyNumberFormat="1" applyFont="1" applyFill="1" applyBorder="1" applyAlignment="1"/>
    <xf numFmtId="0" fontId="17" fillId="27" borderId="37" xfId="81" applyFont="1" applyFill="1" applyBorder="1" applyAlignment="1">
      <alignment vertical="center" wrapText="1"/>
    </xf>
    <xf numFmtId="166" fontId="17" fillId="27" borderId="37" xfId="81" applyNumberFormat="1" applyFont="1" applyFill="1" applyBorder="1" applyAlignment="1"/>
    <xf numFmtId="3" fontId="46" fillId="27" borderId="37" xfId="81" applyNumberFormat="1" applyFont="1" applyFill="1" applyBorder="1" applyAlignment="1"/>
    <xf numFmtId="3" fontId="17" fillId="27" borderId="38" xfId="81" applyNumberFormat="1" applyFont="1" applyFill="1" applyBorder="1" applyAlignment="1"/>
    <xf numFmtId="0" fontId="46" fillId="0" borderId="44" xfId="81" applyFont="1" applyFill="1" applyBorder="1" applyAlignment="1">
      <alignment vertical="center"/>
    </xf>
    <xf numFmtId="166" fontId="46" fillId="0" borderId="44" xfId="81" applyNumberFormat="1" applyFont="1" applyFill="1" applyBorder="1"/>
    <xf numFmtId="3" fontId="46" fillId="0" borderId="44" xfId="81" applyNumberFormat="1" applyFont="1" applyFill="1" applyBorder="1" applyAlignment="1">
      <alignment horizontal="right"/>
    </xf>
    <xf numFmtId="3" fontId="17" fillId="0" borderId="51" xfId="81" applyNumberFormat="1" applyFont="1" applyFill="1" applyBorder="1" applyAlignment="1">
      <alignment horizontal="right"/>
    </xf>
    <xf numFmtId="0" fontId="17" fillId="32" borderId="37" xfId="81" applyFont="1" applyFill="1" applyBorder="1" applyAlignment="1">
      <alignment vertical="center"/>
    </xf>
    <xf numFmtId="166" fontId="46" fillId="32" borderId="37" xfId="81" applyNumberFormat="1" applyFont="1" applyFill="1" applyBorder="1"/>
    <xf numFmtId="3" fontId="46" fillId="32" borderId="37" xfId="81" applyNumberFormat="1" applyFont="1" applyFill="1" applyBorder="1" applyAlignment="1">
      <alignment horizontal="right"/>
    </xf>
    <xf numFmtId="3" fontId="17" fillId="32" borderId="38" xfId="81" applyNumberFormat="1" applyFont="1" applyFill="1" applyBorder="1" applyAlignment="1">
      <alignment horizontal="right"/>
    </xf>
    <xf numFmtId="3" fontId="137" fillId="0" borderId="19" xfId="45" applyNumberFormat="1" applyFont="1" applyFill="1" applyBorder="1"/>
    <xf numFmtId="3" fontId="103" fillId="0" borderId="10" xfId="45" applyNumberFormat="1" applyFont="1" applyFill="1" applyBorder="1"/>
    <xf numFmtId="3" fontId="103" fillId="0" borderId="29" xfId="45" applyNumberFormat="1" applyFont="1" applyFill="1" applyBorder="1"/>
    <xf numFmtId="3" fontId="103" fillId="0" borderId="25" xfId="45" applyNumberFormat="1" applyFont="1" applyFill="1" applyBorder="1" applyAlignment="1">
      <alignment vertical="center"/>
    </xf>
    <xf numFmtId="3" fontId="103" fillId="0" borderId="31" xfId="45" applyNumberFormat="1" applyFont="1" applyFill="1" applyBorder="1" applyAlignment="1">
      <alignment vertical="center"/>
    </xf>
    <xf numFmtId="3" fontId="103" fillId="0" borderId="30" xfId="45" applyNumberFormat="1" applyFont="1" applyFill="1" applyBorder="1"/>
    <xf numFmtId="3" fontId="103" fillId="0" borderId="34" xfId="45" applyNumberFormat="1" applyFont="1" applyFill="1" applyBorder="1"/>
    <xf numFmtId="3" fontId="103" fillId="0" borderId="35" xfId="45" applyNumberFormat="1" applyFont="1" applyFill="1" applyBorder="1"/>
    <xf numFmtId="3" fontId="103" fillId="0" borderId="19" xfId="45" applyNumberFormat="1" applyFont="1" applyFill="1" applyBorder="1"/>
    <xf numFmtId="0" fontId="13" fillId="0" borderId="47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left" vertical="center" wrapText="1"/>
    </xf>
    <xf numFmtId="3" fontId="62" fillId="0" borderId="44" xfId="0" applyNumberFormat="1" applyFont="1" applyFill="1" applyBorder="1" applyAlignment="1">
      <alignment horizontal="right" vertical="center"/>
    </xf>
    <xf numFmtId="3" fontId="62" fillId="0" borderId="51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left" vertical="center" wrapText="1"/>
    </xf>
    <xf numFmtId="3" fontId="62" fillId="0" borderId="37" xfId="0" applyNumberFormat="1" applyFont="1" applyFill="1" applyBorder="1" applyAlignment="1">
      <alignment horizontal="right" vertical="center"/>
    </xf>
    <xf numFmtId="3" fontId="62" fillId="0" borderId="38" xfId="0" applyNumberFormat="1" applyFont="1" applyFill="1" applyBorder="1" applyAlignment="1">
      <alignment horizontal="right" vertical="center"/>
    </xf>
    <xf numFmtId="49" fontId="77" fillId="24" borderId="18" xfId="0" applyNumberFormat="1" applyFont="1" applyFill="1" applyBorder="1" applyAlignment="1">
      <alignment horizontal="center" vertical="center"/>
    </xf>
    <xf numFmtId="167" fontId="76" fillId="0" borderId="18" xfId="0" applyNumberFormat="1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wrapText="1"/>
    </xf>
    <xf numFmtId="49" fontId="77" fillId="29" borderId="19" xfId="0" applyNumberFormat="1" applyFont="1" applyFill="1" applyBorder="1" applyAlignment="1">
      <alignment horizontal="center" vertical="center"/>
    </xf>
    <xf numFmtId="49" fontId="76" fillId="0" borderId="25" xfId="0" applyNumberFormat="1" applyFont="1" applyFill="1" applyBorder="1" applyAlignment="1">
      <alignment horizontal="center" vertical="center"/>
    </xf>
    <xf numFmtId="49" fontId="76" fillId="0" borderId="10" xfId="0" applyNumberFormat="1" applyFont="1" applyFill="1" applyBorder="1" applyAlignment="1">
      <alignment horizontal="center" vertical="center"/>
    </xf>
    <xf numFmtId="167" fontId="76" fillId="0" borderId="25" xfId="0" applyNumberFormat="1" applyFont="1" applyFill="1" applyBorder="1" applyAlignment="1">
      <alignment horizontal="center" vertical="center"/>
    </xf>
    <xf numFmtId="49" fontId="16" fillId="29" borderId="19" xfId="0" applyNumberFormat="1" applyFont="1" applyFill="1" applyBorder="1" applyAlignment="1">
      <alignment horizontal="center" vertical="center"/>
    </xf>
    <xf numFmtId="3" fontId="17" fillId="0" borderId="17" xfId="76" applyNumberFormat="1" applyFont="1" applyFill="1" applyBorder="1" applyAlignment="1">
      <alignment horizontal="center" vertical="center" wrapText="1"/>
    </xf>
    <xf numFmtId="3" fontId="14" fillId="0" borderId="29" xfId="76" applyNumberFormat="1" applyFont="1" applyFill="1" applyBorder="1" applyAlignment="1">
      <alignment horizontal="right" wrapText="1"/>
    </xf>
    <xf numFmtId="3" fontId="9" fillId="0" borderId="29" xfId="76" applyNumberFormat="1" applyFont="1" applyFill="1" applyBorder="1" applyAlignment="1">
      <alignment horizontal="right" wrapText="1"/>
    </xf>
    <xf numFmtId="3" fontId="9" fillId="0" borderId="59" xfId="76" applyNumberFormat="1" applyFont="1" applyFill="1" applyBorder="1" applyAlignment="1">
      <alignment horizontal="right" wrapText="1"/>
    </xf>
    <xf numFmtId="164" fontId="14" fillId="0" borderId="80" xfId="26" applyNumberFormat="1" applyFont="1" applyBorder="1" applyAlignment="1">
      <alignment horizontal="right" wrapText="1"/>
    </xf>
    <xf numFmtId="164" fontId="14" fillId="0" borderId="59" xfId="26" applyNumberFormat="1" applyFont="1" applyBorder="1" applyAlignment="1">
      <alignment horizontal="right" wrapText="1"/>
    </xf>
    <xf numFmtId="3" fontId="9" fillId="0" borderId="29" xfId="76" applyNumberFormat="1" applyFont="1" applyBorder="1" applyAlignment="1">
      <alignment horizontal="right"/>
    </xf>
    <xf numFmtId="3" fontId="14" fillId="0" borderId="29" xfId="76" applyNumberFormat="1" applyFont="1" applyBorder="1" applyAlignment="1">
      <alignment horizontal="right"/>
    </xf>
    <xf numFmtId="0" fontId="56" fillId="0" borderId="0" xfId="76" applyFont="1" applyFill="1" applyBorder="1" applyAlignment="1"/>
    <xf numFmtId="3" fontId="9" fillId="0" borderId="29" xfId="76" applyNumberFormat="1" applyFont="1" applyFill="1" applyBorder="1" applyAlignment="1">
      <alignment horizontal="right"/>
    </xf>
    <xf numFmtId="0" fontId="55" fillId="0" borderId="32" xfId="76" applyFont="1" applyBorder="1" applyAlignment="1">
      <alignment horizontal="center"/>
    </xf>
    <xf numFmtId="0" fontId="55" fillId="0" borderId="69" xfId="76" applyFont="1" applyBorder="1" applyAlignment="1">
      <alignment horizontal="center" vertical="justify"/>
    </xf>
    <xf numFmtId="0" fontId="55" fillId="0" borderId="37" xfId="76" applyFont="1" applyBorder="1" applyAlignment="1">
      <alignment horizontal="center" vertical="center"/>
    </xf>
    <xf numFmtId="0" fontId="58" fillId="31" borderId="37" xfId="76" applyFont="1" applyFill="1" applyBorder="1" applyAlignment="1">
      <alignment horizontal="center" vertical="center"/>
    </xf>
    <xf numFmtId="0" fontId="58" fillId="31" borderId="37" xfId="76" applyFont="1" applyFill="1" applyBorder="1" applyAlignment="1">
      <alignment vertical="center" wrapText="1"/>
    </xf>
    <xf numFmtId="3" fontId="9" fillId="31" borderId="37" xfId="76" applyNumberFormat="1" applyFont="1" applyFill="1" applyBorder="1" applyAlignment="1">
      <alignment horizontal="right" vertical="center"/>
    </xf>
    <xf numFmtId="3" fontId="9" fillId="31" borderId="38" xfId="76" applyNumberFormat="1" applyFont="1" applyFill="1" applyBorder="1" applyAlignment="1">
      <alignment horizontal="right" vertical="center"/>
    </xf>
    <xf numFmtId="0" fontId="9" fillId="0" borderId="32" xfId="76" applyFont="1" applyBorder="1" applyAlignment="1">
      <alignment vertical="center" wrapText="1"/>
    </xf>
    <xf numFmtId="3" fontId="9" fillId="0" borderId="29" xfId="76" applyNumberFormat="1" applyFont="1" applyBorder="1" applyAlignment="1">
      <alignment horizontal="right" vertical="center"/>
    </xf>
    <xf numFmtId="3" fontId="14" fillId="0" borderId="29" xfId="76" applyNumberFormat="1" applyFont="1" applyBorder="1" applyAlignment="1">
      <alignment horizontal="right" vertical="center"/>
    </xf>
    <xf numFmtId="3" fontId="65" fillId="0" borderId="29" xfId="76" applyNumberFormat="1" applyFont="1" applyBorder="1" applyAlignment="1">
      <alignment horizontal="right" vertical="center"/>
    </xf>
    <xf numFmtId="3" fontId="9" fillId="0" borderId="30" xfId="76" applyNumberFormat="1" applyFont="1" applyBorder="1" applyAlignment="1">
      <alignment horizontal="right" vertical="center"/>
    </xf>
    <xf numFmtId="3" fontId="65" fillId="0" borderId="30" xfId="76" applyNumberFormat="1" applyFont="1" applyBorder="1" applyAlignment="1">
      <alignment horizontal="right" vertical="center"/>
    </xf>
    <xf numFmtId="3" fontId="65" fillId="0" borderId="30" xfId="76" applyNumberFormat="1" applyFont="1" applyFill="1" applyBorder="1" applyAlignment="1">
      <alignment horizontal="right" vertical="center"/>
    </xf>
    <xf numFmtId="0" fontId="58" fillId="31" borderId="45" xfId="76" applyFont="1" applyFill="1" applyBorder="1" applyAlignment="1">
      <alignment vertical="center" wrapText="1"/>
    </xf>
    <xf numFmtId="3" fontId="14" fillId="0" borderId="29" xfId="76" applyNumberFormat="1" applyFont="1" applyFill="1" applyBorder="1" applyAlignment="1">
      <alignment horizontal="right" vertical="center"/>
    </xf>
    <xf numFmtId="3" fontId="9" fillId="0" borderId="29" xfId="76" applyNumberFormat="1" applyFont="1" applyFill="1" applyBorder="1" applyAlignment="1">
      <alignment horizontal="right" vertical="center"/>
    </xf>
    <xf numFmtId="3" fontId="14" fillId="0" borderId="30" xfId="76" applyNumberFormat="1" applyFont="1" applyFill="1" applyBorder="1" applyAlignment="1">
      <alignment horizontal="right" vertical="center"/>
    </xf>
    <xf numFmtId="3" fontId="9" fillId="0" borderId="30" xfId="76" applyNumberFormat="1" applyFont="1" applyFill="1" applyBorder="1" applyAlignment="1">
      <alignment horizontal="right" vertical="center"/>
    </xf>
    <xf numFmtId="0" fontId="51" fillId="0" borderId="45" xfId="76" applyFont="1" applyFill="1" applyBorder="1" applyAlignment="1"/>
    <xf numFmtId="0" fontId="58" fillId="31" borderId="45" xfId="76" applyFont="1" applyFill="1" applyBorder="1" applyAlignment="1">
      <alignment horizontal="center" vertical="center" wrapText="1"/>
    </xf>
    <xf numFmtId="0" fontId="51" fillId="0" borderId="45" xfId="76" applyFont="1" applyFill="1" applyBorder="1"/>
    <xf numFmtId="0" fontId="58" fillId="31" borderId="49" xfId="76" applyFont="1" applyFill="1" applyBorder="1" applyAlignment="1">
      <alignment vertical="center" wrapText="1"/>
    </xf>
    <xf numFmtId="0" fontId="14" fillId="0" borderId="46" xfId="76" applyFont="1" applyBorder="1"/>
    <xf numFmtId="0" fontId="55" fillId="0" borderId="46" xfId="76" applyFont="1" applyBorder="1"/>
    <xf numFmtId="0" fontId="14" fillId="32" borderId="18" xfId="76" applyFont="1" applyFill="1" applyBorder="1"/>
    <xf numFmtId="0" fontId="14" fillId="32" borderId="19" xfId="76" applyFont="1" applyFill="1" applyBorder="1"/>
    <xf numFmtId="0" fontId="9" fillId="32" borderId="19" xfId="76" applyFont="1" applyFill="1" applyBorder="1"/>
    <xf numFmtId="3" fontId="9" fillId="32" borderId="19" xfId="76" applyNumberFormat="1" applyFont="1" applyFill="1" applyBorder="1" applyAlignment="1">
      <alignment horizontal="right"/>
    </xf>
    <xf numFmtId="0" fontId="53" fillId="0" borderId="19" xfId="45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left" vertical="center"/>
    </xf>
    <xf numFmtId="0" fontId="95" fillId="0" borderId="18" xfId="0" applyFont="1" applyFill="1" applyBorder="1" applyAlignment="1">
      <alignment horizontal="center" vertical="center"/>
    </xf>
    <xf numFmtId="0" fontId="95" fillId="0" borderId="19" xfId="0" applyFont="1" applyFill="1" applyBorder="1" applyAlignment="1">
      <alignment horizontal="left" vertical="center"/>
    </xf>
    <xf numFmtId="0" fontId="80" fillId="0" borderId="28" xfId="45" applyFont="1" applyFill="1" applyBorder="1" applyAlignment="1">
      <alignment horizontal="center" vertical="center"/>
    </xf>
    <xf numFmtId="0" fontId="80" fillId="0" borderId="10" xfId="45" applyFont="1" applyFill="1" applyBorder="1" applyAlignment="1">
      <alignment horizontal="left" vertical="center"/>
    </xf>
    <xf numFmtId="0" fontId="46" fillId="0" borderId="28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24" xfId="0" applyFont="1" applyFill="1" applyBorder="1" applyAlignment="1">
      <alignment horizontal="left" vertical="center"/>
    </xf>
    <xf numFmtId="0" fontId="46" fillId="0" borderId="33" xfId="0" applyFont="1" applyFill="1" applyBorder="1" applyAlignment="1">
      <alignment horizontal="center" vertical="center"/>
    </xf>
    <xf numFmtId="0" fontId="17" fillId="24" borderId="18" xfId="0" applyFont="1" applyFill="1" applyBorder="1" applyAlignment="1">
      <alignment horizontal="center" vertical="center"/>
    </xf>
    <xf numFmtId="0" fontId="17" fillId="24" borderId="19" xfId="0" applyFont="1" applyFill="1" applyBorder="1" applyAlignment="1">
      <alignment horizontal="left" vertical="center"/>
    </xf>
    <xf numFmtId="0" fontId="46" fillId="0" borderId="34" xfId="0" applyFont="1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80" fillId="0" borderId="18" xfId="0" applyFont="1" applyFill="1" applyBorder="1" applyAlignment="1">
      <alignment horizontal="center" vertical="center"/>
    </xf>
    <xf numFmtId="0" fontId="80" fillId="0" borderId="19" xfId="0" applyFont="1" applyFill="1" applyBorder="1" applyAlignment="1">
      <alignment horizontal="left" vertical="center"/>
    </xf>
    <xf numFmtId="0" fontId="46" fillId="0" borderId="25" xfId="0" applyFont="1" applyFill="1" applyBorder="1" applyAlignment="1">
      <alignment vertical="center"/>
    </xf>
    <xf numFmtId="0" fontId="85" fillId="0" borderId="19" xfId="0" applyFont="1" applyFill="1" applyBorder="1" applyAlignment="1">
      <alignment horizontal="left" vertical="center"/>
    </xf>
    <xf numFmtId="0" fontId="80" fillId="0" borderId="47" xfId="0" applyFont="1" applyFill="1" applyBorder="1" applyAlignment="1">
      <alignment horizontal="center" vertical="center"/>
    </xf>
    <xf numFmtId="0" fontId="80" fillId="0" borderId="44" xfId="0" applyFont="1" applyFill="1" applyBorder="1" applyAlignment="1">
      <alignment horizontal="left" vertical="center"/>
    </xf>
    <xf numFmtId="0" fontId="80" fillId="0" borderId="28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left" vertical="center"/>
    </xf>
    <xf numFmtId="0" fontId="80" fillId="0" borderId="36" xfId="0" applyFont="1" applyFill="1" applyBorder="1" applyAlignment="1">
      <alignment horizontal="center" vertical="center"/>
    </xf>
    <xf numFmtId="0" fontId="80" fillId="0" borderId="37" xfId="0" applyFont="1" applyFill="1" applyBorder="1" applyAlignment="1">
      <alignment horizontal="left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left" vertical="center"/>
    </xf>
    <xf numFmtId="0" fontId="151" fillId="0" borderId="0" xfId="0" applyFont="1" applyFill="1" applyAlignment="1">
      <alignment horizontal="center" vertical="center"/>
    </xf>
    <xf numFmtId="0" fontId="151" fillId="0" borderId="0" xfId="0" applyFont="1" applyFill="1" applyAlignment="1">
      <alignment horizontal="center"/>
    </xf>
    <xf numFmtId="0" fontId="150" fillId="0" borderId="0" xfId="0" applyFont="1"/>
    <xf numFmtId="0" fontId="159" fillId="0" borderId="0" xfId="45" applyFont="1" applyAlignment="1">
      <alignment horizontal="center" wrapText="1"/>
    </xf>
    <xf numFmtId="0" fontId="159" fillId="0" borderId="0" xfId="45" applyFont="1" applyAlignment="1">
      <alignment horizontal="right"/>
    </xf>
    <xf numFmtId="0" fontId="150" fillId="0" borderId="0" xfId="0" applyFont="1" applyFill="1" applyAlignment="1">
      <alignment horizontal="right"/>
    </xf>
    <xf numFmtId="0" fontId="150" fillId="0" borderId="0" xfId="0" applyFont="1" applyFill="1" applyAlignment="1">
      <alignment horizontal="center" vertical="center"/>
    </xf>
    <xf numFmtId="0" fontId="150" fillId="0" borderId="0" xfId="0" applyFont="1" applyFill="1"/>
    <xf numFmtId="0" fontId="104" fillId="0" borderId="0" xfId="46" applyFont="1" applyFill="1" applyBorder="1" applyAlignment="1"/>
    <xf numFmtId="0" fontId="103" fillId="0" borderId="0" xfId="64" applyFont="1" applyBorder="1" applyAlignment="1">
      <alignment horizontal="right" vertical="center"/>
    </xf>
    <xf numFmtId="0" fontId="104" fillId="0" borderId="28" xfId="46" applyFont="1" applyFill="1" applyBorder="1" applyAlignment="1">
      <alignment vertical="center"/>
    </xf>
    <xf numFmtId="3" fontId="104" fillId="0" borderId="10" xfId="46" applyNumberFormat="1" applyFont="1" applyFill="1" applyBorder="1" applyAlignment="1">
      <alignment horizontal="center" vertical="center" wrapText="1"/>
    </xf>
    <xf numFmtId="3" fontId="104" fillId="0" borderId="16" xfId="46" applyNumberFormat="1" applyFont="1" applyFill="1" applyBorder="1" applyAlignment="1">
      <alignment horizontal="center" vertical="center" wrapText="1"/>
    </xf>
    <xf numFmtId="0" fontId="104" fillId="0" borderId="21" xfId="46" applyFont="1" applyFill="1" applyBorder="1" applyAlignment="1">
      <alignment horizontal="right" vertical="center"/>
    </xf>
    <xf numFmtId="0" fontId="103" fillId="0" borderId="28" xfId="46" applyFont="1" applyFill="1" applyBorder="1" applyAlignment="1">
      <alignment vertical="center" wrapText="1"/>
    </xf>
    <xf numFmtId="3" fontId="103" fillId="0" borderId="10" xfId="46" applyNumberFormat="1" applyFont="1" applyFill="1" applyBorder="1" applyAlignment="1">
      <alignment vertical="center"/>
    </xf>
    <xf numFmtId="3" fontId="103" fillId="0" borderId="16" xfId="46" applyNumberFormat="1" applyFont="1" applyFill="1" applyBorder="1" applyAlignment="1">
      <alignment vertical="center"/>
    </xf>
    <xf numFmtId="3" fontId="104" fillId="0" borderId="21" xfId="46" applyNumberFormat="1" applyFont="1" applyFill="1" applyBorder="1" applyAlignment="1">
      <alignment vertical="center"/>
    </xf>
    <xf numFmtId="0" fontId="103" fillId="0" borderId="28" xfId="46" applyFont="1" applyFill="1" applyBorder="1" applyAlignment="1">
      <alignment vertical="center"/>
    </xf>
    <xf numFmtId="0" fontId="104" fillId="0" borderId="36" xfId="46" applyFont="1" applyFill="1" applyBorder="1" applyAlignment="1">
      <alignment vertical="center"/>
    </xf>
    <xf numFmtId="3" fontId="104" fillId="0" borderId="37" xfId="46" applyNumberFormat="1" applyFont="1" applyFill="1" applyBorder="1" applyAlignment="1">
      <alignment vertical="center"/>
    </xf>
    <xf numFmtId="3" fontId="104" fillId="0" borderId="45" xfId="46" applyNumberFormat="1" applyFont="1" applyFill="1" applyBorder="1" applyAlignment="1">
      <alignment vertical="center"/>
    </xf>
    <xf numFmtId="3" fontId="104" fillId="0" borderId="73" xfId="46" applyNumberFormat="1" applyFont="1" applyFill="1" applyBorder="1" applyAlignment="1">
      <alignment vertical="center"/>
    </xf>
    <xf numFmtId="0" fontId="104" fillId="0" borderId="18" xfId="46" applyFont="1" applyFill="1" applyBorder="1" applyAlignment="1">
      <alignment vertical="center"/>
    </xf>
    <xf numFmtId="3" fontId="104" fillId="0" borderId="19" xfId="46" applyNumberFormat="1" applyFont="1" applyFill="1" applyBorder="1" applyAlignment="1">
      <alignment horizontal="center" vertical="center" wrapText="1"/>
    </xf>
    <xf numFmtId="3" fontId="104" fillId="0" borderId="52" xfId="46" applyNumberFormat="1" applyFont="1" applyFill="1" applyBorder="1" applyAlignment="1">
      <alignment horizontal="center" vertical="center" wrapText="1"/>
    </xf>
    <xf numFmtId="0" fontId="104" fillId="0" borderId="23" xfId="46" applyFont="1" applyFill="1" applyBorder="1" applyAlignment="1">
      <alignment horizontal="right" vertical="center"/>
    </xf>
    <xf numFmtId="0" fontId="103" fillId="0" borderId="32" xfId="46" applyFont="1" applyFill="1" applyBorder="1" applyAlignment="1">
      <alignment vertical="center"/>
    </xf>
    <xf numFmtId="3" fontId="103" fillId="0" borderId="25" xfId="46" applyNumberFormat="1" applyFont="1" applyFill="1" applyBorder="1" applyAlignment="1">
      <alignment vertical="center"/>
    </xf>
    <xf numFmtId="3" fontId="103" fillId="0" borderId="15" xfId="46" applyNumberFormat="1" applyFont="1" applyFill="1" applyBorder="1" applyAlignment="1">
      <alignment vertical="center"/>
    </xf>
    <xf numFmtId="3" fontId="104" fillId="0" borderId="67" xfId="46" applyNumberFormat="1" applyFont="1" applyFill="1" applyBorder="1" applyAlignment="1">
      <alignment vertical="center"/>
    </xf>
    <xf numFmtId="3" fontId="103" fillId="0" borderId="34" xfId="46" applyNumberFormat="1" applyFont="1" applyFill="1" applyBorder="1" applyAlignment="1">
      <alignment vertical="center"/>
    </xf>
    <xf numFmtId="3" fontId="103" fillId="0" borderId="70" xfId="46" applyNumberFormat="1" applyFont="1" applyFill="1" applyBorder="1" applyAlignment="1">
      <alignment vertical="center"/>
    </xf>
    <xf numFmtId="3" fontId="104" fillId="0" borderId="59" xfId="46" applyNumberFormat="1" applyFont="1" applyFill="1" applyBorder="1" applyAlignment="1">
      <alignment vertical="center"/>
    </xf>
    <xf numFmtId="3" fontId="103" fillId="0" borderId="24" xfId="46" applyNumberFormat="1" applyFont="1" applyFill="1" applyBorder="1" applyAlignment="1">
      <alignment vertical="center"/>
    </xf>
    <xf numFmtId="3" fontId="103" fillId="0" borderId="42" xfId="46" applyNumberFormat="1" applyFont="1" applyFill="1" applyBorder="1" applyAlignment="1">
      <alignment vertical="center"/>
    </xf>
    <xf numFmtId="3" fontId="104" fillId="0" borderId="72" xfId="46" applyNumberFormat="1" applyFont="1" applyFill="1" applyBorder="1" applyAlignment="1">
      <alignment vertical="center"/>
    </xf>
    <xf numFmtId="3" fontId="104" fillId="0" borderId="19" xfId="46" applyNumberFormat="1" applyFont="1" applyFill="1" applyBorder="1" applyAlignment="1">
      <alignment vertical="center"/>
    </xf>
    <xf numFmtId="3" fontId="104" fillId="0" borderId="52" xfId="46" applyNumberFormat="1" applyFont="1" applyFill="1" applyBorder="1" applyAlignment="1">
      <alignment vertical="center"/>
    </xf>
    <xf numFmtId="3" fontId="104" fillId="0" borderId="23" xfId="46" applyNumberFormat="1" applyFont="1" applyFill="1" applyBorder="1" applyAlignment="1">
      <alignment vertical="center"/>
    </xf>
    <xf numFmtId="0" fontId="104" fillId="0" borderId="46" xfId="46" applyFont="1" applyFill="1" applyBorder="1" applyAlignment="1">
      <alignment vertical="center"/>
    </xf>
    <xf numFmtId="3" fontId="104" fillId="0" borderId="46" xfId="46" applyNumberFormat="1" applyFont="1" applyFill="1" applyBorder="1" applyAlignment="1">
      <alignment vertical="center"/>
    </xf>
    <xf numFmtId="0" fontId="104" fillId="0" borderId="47" xfId="46" applyFont="1" applyFill="1" applyBorder="1" applyAlignment="1">
      <alignment vertical="center"/>
    </xf>
    <xf numFmtId="3" fontId="104" fillId="0" borderId="44" xfId="46" applyNumberFormat="1" applyFont="1" applyFill="1" applyBorder="1" applyAlignment="1">
      <alignment horizontal="center" vertical="center" wrapText="1"/>
    </xf>
    <xf numFmtId="0" fontId="103" fillId="0" borderId="74" xfId="46" applyFont="1" applyBorder="1" applyAlignment="1">
      <alignment vertical="center"/>
    </xf>
    <xf numFmtId="0" fontId="104" fillId="0" borderId="22" xfId="46" applyFont="1" applyFill="1" applyBorder="1" applyAlignment="1">
      <alignment horizontal="right" vertical="center"/>
    </xf>
    <xf numFmtId="0" fontId="101" fillId="0" borderId="36" xfId="67" applyFont="1" applyBorder="1" applyAlignment="1">
      <alignment horizontal="left" vertical="center" wrapText="1"/>
    </xf>
    <xf numFmtId="3" fontId="103" fillId="0" borderId="37" xfId="46" applyNumberFormat="1" applyFont="1" applyFill="1" applyBorder="1" applyAlignment="1">
      <alignment vertical="center"/>
    </xf>
    <xf numFmtId="0" fontId="104" fillId="0" borderId="45" xfId="67" applyFont="1" applyFill="1" applyBorder="1" applyAlignment="1">
      <alignment horizontal="left"/>
    </xf>
    <xf numFmtId="3" fontId="104" fillId="0" borderId="73" xfId="67" applyNumberFormat="1" applyFont="1" applyFill="1" applyBorder="1" applyAlignment="1">
      <alignment horizontal="right"/>
    </xf>
    <xf numFmtId="3" fontId="103" fillId="0" borderId="0" xfId="46" applyNumberFormat="1" applyFont="1" applyFill="1" applyBorder="1" applyAlignment="1">
      <alignment vertical="center"/>
    </xf>
    <xf numFmtId="0" fontId="104" fillId="0" borderId="0" xfId="67" applyFont="1" applyFill="1" applyBorder="1" applyAlignment="1">
      <alignment horizontal="left" wrapText="1"/>
    </xf>
    <xf numFmtId="0" fontId="101" fillId="0" borderId="69" xfId="67" applyFont="1" applyBorder="1" applyAlignment="1">
      <alignment horizontal="left" vertical="center" wrapText="1"/>
    </xf>
    <xf numFmtId="3" fontId="101" fillId="0" borderId="45" xfId="67" applyNumberFormat="1" applyFont="1" applyBorder="1" applyAlignment="1">
      <alignment horizontal="right" vertical="center" wrapText="1"/>
    </xf>
    <xf numFmtId="0" fontId="101" fillId="0" borderId="45" xfId="67" applyFont="1" applyBorder="1" applyAlignment="1">
      <alignment horizontal="left" vertical="center" wrapText="1"/>
    </xf>
    <xf numFmtId="3" fontId="101" fillId="0" borderId="73" xfId="67" applyNumberFormat="1" applyFont="1" applyBorder="1" applyAlignment="1">
      <alignment horizontal="right" vertical="center" wrapText="1"/>
    </xf>
    <xf numFmtId="0" fontId="101" fillId="0" borderId="0" xfId="67" applyFont="1" applyBorder="1" applyAlignment="1">
      <alignment horizontal="left" vertical="center" wrapText="1"/>
    </xf>
    <xf numFmtId="0" fontId="101" fillId="0" borderId="57" xfId="67" applyFont="1" applyBorder="1" applyAlignment="1">
      <alignment horizontal="left" vertical="center" wrapText="1"/>
    </xf>
    <xf numFmtId="3" fontId="104" fillId="0" borderId="58" xfId="46" applyNumberFormat="1" applyFont="1" applyFill="1" applyBorder="1" applyAlignment="1">
      <alignment horizontal="center" vertical="center" wrapText="1"/>
    </xf>
    <xf numFmtId="3" fontId="103" fillId="0" borderId="49" xfId="46" applyNumberFormat="1" applyFont="1" applyFill="1" applyBorder="1" applyAlignment="1">
      <alignment vertical="center"/>
    </xf>
    <xf numFmtId="3" fontId="103" fillId="0" borderId="75" xfId="46" applyNumberFormat="1" applyFont="1" applyFill="1" applyBorder="1" applyAlignment="1">
      <alignment vertical="center"/>
    </xf>
    <xf numFmtId="3" fontId="103" fillId="0" borderId="76" xfId="46" applyNumberFormat="1" applyFont="1" applyFill="1" applyBorder="1" applyAlignment="1">
      <alignment vertical="center"/>
    </xf>
    <xf numFmtId="3" fontId="104" fillId="0" borderId="0" xfId="46" applyNumberFormat="1" applyFont="1" applyFill="1" applyBorder="1"/>
    <xf numFmtId="0" fontId="104" fillId="0" borderId="17" xfId="46" applyFont="1" applyFill="1" applyBorder="1" applyAlignment="1">
      <alignment horizontal="right" vertical="center"/>
    </xf>
    <xf numFmtId="3" fontId="104" fillId="0" borderId="31" xfId="46" applyNumberFormat="1" applyFont="1" applyFill="1" applyBorder="1" applyAlignment="1">
      <alignment vertical="center"/>
    </xf>
    <xf numFmtId="3" fontId="104" fillId="0" borderId="35" xfId="46" applyNumberFormat="1" applyFont="1" applyFill="1" applyBorder="1" applyAlignment="1">
      <alignment vertical="center"/>
    </xf>
    <xf numFmtId="3" fontId="104" fillId="0" borderId="29" xfId="46" applyNumberFormat="1" applyFont="1" applyFill="1" applyBorder="1" applyAlignment="1">
      <alignment vertical="center"/>
    </xf>
    <xf numFmtId="3" fontId="101" fillId="0" borderId="38" xfId="67" applyNumberFormat="1" applyFont="1" applyBorder="1" applyAlignment="1">
      <alignment horizontal="right" vertical="center" wrapText="1"/>
    </xf>
    <xf numFmtId="0" fontId="104" fillId="0" borderId="0" xfId="46" applyFont="1" applyFill="1" applyBorder="1"/>
    <xf numFmtId="0" fontId="58" fillId="0" borderId="11" xfId="76" applyFont="1" applyFill="1" applyBorder="1" applyAlignment="1">
      <alignment vertical="center" wrapText="1"/>
    </xf>
    <xf numFmtId="0" fontId="58" fillId="0" borderId="46" xfId="76" applyFont="1" applyFill="1" applyBorder="1" applyAlignment="1">
      <alignment vertical="center" wrapText="1"/>
    </xf>
    <xf numFmtId="0" fontId="58" fillId="0" borderId="23" xfId="76" applyFont="1" applyFill="1" applyBorder="1" applyAlignment="1">
      <alignment vertical="center" wrapText="1"/>
    </xf>
    <xf numFmtId="2" fontId="103" fillId="0" borderId="24" xfId="71" applyNumberFormat="1" applyFont="1" applyBorder="1" applyAlignment="1">
      <alignment vertical="center"/>
    </xf>
    <xf numFmtId="0" fontId="160" fillId="25" borderId="0" xfId="0" applyFont="1" applyFill="1"/>
    <xf numFmtId="0" fontId="87" fillId="0" borderId="0" xfId="67" applyFont="1" applyBorder="1" applyAlignment="1">
      <alignment horizontal="center" vertical="center"/>
    </xf>
    <xf numFmtId="0" fontId="14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1" fillId="0" borderId="65" xfId="45" applyFont="1" applyBorder="1" applyAlignment="1">
      <alignment horizontal="center" wrapText="1"/>
    </xf>
    <xf numFmtId="0" fontId="119" fillId="0" borderId="41" xfId="0" applyFont="1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23" fillId="0" borderId="0" xfId="0" applyFont="1" applyAlignment="1">
      <alignment horizontal="center" wrapText="1"/>
    </xf>
    <xf numFmtId="0" fontId="148" fillId="0" borderId="0" xfId="0" applyFont="1" applyAlignment="1">
      <alignment wrapText="1"/>
    </xf>
    <xf numFmtId="0" fontId="87" fillId="0" borderId="0" xfId="45" applyFont="1" applyAlignment="1">
      <alignment horizontal="center" wrapText="1"/>
    </xf>
    <xf numFmtId="0" fontId="88" fillId="0" borderId="0" xfId="0" applyFont="1" applyAlignment="1">
      <alignment wrapText="1"/>
    </xf>
    <xf numFmtId="0" fontId="139" fillId="0" borderId="0" xfId="0" applyFont="1" applyAlignment="1">
      <alignment wrapText="1"/>
    </xf>
    <xf numFmtId="0" fontId="0" fillId="0" borderId="0" xfId="0" applyAlignment="1">
      <alignment wrapText="1"/>
    </xf>
    <xf numFmtId="0" fontId="87" fillId="0" borderId="0" xfId="0" applyFont="1" applyAlignment="1">
      <alignment horizontal="center" vertical="center" wrapText="1"/>
    </xf>
    <xf numFmtId="0" fontId="102" fillId="0" borderId="0" xfId="0" applyFont="1" applyAlignment="1">
      <alignment wrapText="1"/>
    </xf>
    <xf numFmtId="0" fontId="77" fillId="0" borderId="4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/>
    </xf>
    <xf numFmtId="0" fontId="153" fillId="0" borderId="44" xfId="0" applyFont="1" applyBorder="1" applyAlignment="1">
      <alignment horizontal="center" vertical="center"/>
    </xf>
    <xf numFmtId="0" fontId="153" fillId="0" borderId="51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87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5" fillId="0" borderId="44" xfId="0" applyFont="1" applyBorder="1" applyAlignment="1">
      <alignment horizontal="center" vertical="center" wrapText="1"/>
    </xf>
    <xf numFmtId="0" fontId="153" fillId="0" borderId="44" xfId="0" applyFont="1" applyBorder="1" applyAlignment="1">
      <alignment horizontal="center" vertical="center" wrapText="1"/>
    </xf>
    <xf numFmtId="0" fontId="153" fillId="0" borderId="51" xfId="0" applyFont="1" applyBorder="1" applyAlignment="1">
      <alignment horizontal="center" vertical="center" wrapText="1"/>
    </xf>
    <xf numFmtId="0" fontId="109" fillId="0" borderId="0" xfId="49" applyFont="1" applyAlignment="1">
      <alignment horizontal="center" wrapText="1"/>
    </xf>
    <xf numFmtId="0" fontId="138" fillId="0" borderId="0" xfId="0" applyFont="1" applyAlignment="1">
      <alignment wrapText="1"/>
    </xf>
    <xf numFmtId="0" fontId="46" fillId="0" borderId="0" xfId="0" applyFont="1" applyFill="1" applyBorder="1" applyAlignment="1">
      <alignment horizontal="right" vertical="center" wrapText="1"/>
    </xf>
    <xf numFmtId="0" fontId="46" fillId="0" borderId="12" xfId="0" applyFont="1" applyFill="1" applyBorder="1" applyAlignment="1">
      <alignment horizontal="right" vertical="center" wrapText="1"/>
    </xf>
    <xf numFmtId="3" fontId="88" fillId="0" borderId="16" xfId="49" applyNumberFormat="1" applyFont="1" applyBorder="1" applyAlignment="1">
      <alignment horizontal="right"/>
    </xf>
    <xf numFmtId="3" fontId="88" fillId="0" borderId="54" xfId="49" applyNumberFormat="1" applyFont="1" applyBorder="1" applyAlignment="1">
      <alignment horizontal="right"/>
    </xf>
    <xf numFmtId="3" fontId="88" fillId="0" borderId="40" xfId="49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6" fillId="0" borderId="0" xfId="76" applyFont="1" applyAlignment="1">
      <alignment horizontal="center" vertical="center" wrapText="1"/>
    </xf>
    <xf numFmtId="0" fontId="17" fillId="0" borderId="46" xfId="76" applyFont="1" applyFill="1" applyBorder="1" applyAlignment="1">
      <alignment horizontal="center" vertical="center" wrapText="1"/>
    </xf>
    <xf numFmtId="0" fontId="9" fillId="0" borderId="28" xfId="76" applyFont="1" applyBorder="1" applyAlignment="1">
      <alignment horizontal="justify" vertical="center" wrapText="1"/>
    </xf>
    <xf numFmtId="0" fontId="9" fillId="0" borderId="36" xfId="76" applyFont="1" applyBorder="1" applyAlignment="1">
      <alignment horizontal="justify" vertical="center" wrapText="1"/>
    </xf>
    <xf numFmtId="0" fontId="9" fillId="0" borderId="24" xfId="76" applyFont="1" applyBorder="1" applyAlignment="1">
      <alignment horizontal="center" vertical="center" wrapText="1"/>
    </xf>
    <xf numFmtId="0" fontId="9" fillId="0" borderId="25" xfId="76" applyFont="1" applyBorder="1" applyAlignment="1">
      <alignment horizontal="center" vertical="center" wrapText="1"/>
    </xf>
    <xf numFmtId="0" fontId="9" fillId="0" borderId="33" xfId="76" applyFont="1" applyFill="1" applyBorder="1" applyAlignment="1">
      <alignment horizontal="center" wrapText="1"/>
    </xf>
    <xf numFmtId="0" fontId="9" fillId="0" borderId="16" xfId="76" applyFont="1" applyBorder="1" applyAlignment="1">
      <alignment horizontal="center" vertical="center" wrapText="1"/>
    </xf>
    <xf numFmtId="0" fontId="9" fillId="0" borderId="40" xfId="76" applyFont="1" applyBorder="1" applyAlignment="1">
      <alignment horizontal="center" vertical="center" wrapText="1"/>
    </xf>
    <xf numFmtId="0" fontId="58" fillId="0" borderId="65" xfId="76" applyFont="1" applyFill="1" applyBorder="1" applyAlignment="1">
      <alignment horizontal="center" vertical="center" wrapText="1"/>
    </xf>
    <xf numFmtId="0" fontId="58" fillId="0" borderId="41" xfId="76" applyFont="1" applyFill="1" applyBorder="1" applyAlignment="1">
      <alignment horizontal="center" vertical="center" wrapText="1"/>
    </xf>
    <xf numFmtId="0" fontId="58" fillId="0" borderId="22" xfId="76" applyFont="1" applyFill="1" applyBorder="1" applyAlignment="1">
      <alignment horizontal="center" vertical="center" wrapText="1"/>
    </xf>
    <xf numFmtId="0" fontId="58" fillId="0" borderId="65" xfId="76" applyFont="1" applyFill="1" applyBorder="1" applyAlignment="1">
      <alignment horizontal="center" vertical="center"/>
    </xf>
    <xf numFmtId="0" fontId="58" fillId="0" borderId="41" xfId="76" applyFont="1" applyFill="1" applyBorder="1" applyAlignment="1">
      <alignment horizontal="center" vertical="center"/>
    </xf>
    <xf numFmtId="0" fontId="58" fillId="0" borderId="22" xfId="76" applyFont="1" applyFill="1" applyBorder="1" applyAlignment="1">
      <alignment horizontal="center" vertical="center"/>
    </xf>
    <xf numFmtId="0" fontId="9" fillId="0" borderId="32" xfId="76" applyFont="1" applyBorder="1" applyAlignment="1">
      <alignment horizontal="justify" vertical="center" wrapText="1"/>
    </xf>
    <xf numFmtId="0" fontId="9" fillId="0" borderId="16" xfId="76" applyFont="1" applyBorder="1" applyAlignment="1">
      <alignment horizontal="justify" vertical="center" wrapText="1"/>
    </xf>
    <xf numFmtId="0" fontId="9" fillId="0" borderId="40" xfId="76" applyFont="1" applyBorder="1" applyAlignment="1">
      <alignment horizontal="justify" vertical="center" wrapText="1"/>
    </xf>
    <xf numFmtId="0" fontId="9" fillId="0" borderId="34" xfId="76" applyFont="1" applyBorder="1" applyAlignment="1">
      <alignment horizontal="center" vertical="center" wrapText="1"/>
    </xf>
    <xf numFmtId="0" fontId="9" fillId="0" borderId="43" xfId="76" applyFont="1" applyBorder="1" applyAlignment="1">
      <alignment horizontal="center" vertical="center" wrapText="1"/>
    </xf>
    <xf numFmtId="0" fontId="9" fillId="0" borderId="12" xfId="76" applyFont="1" applyBorder="1" applyAlignment="1">
      <alignment horizontal="center" vertical="center" wrapText="1"/>
    </xf>
    <xf numFmtId="0" fontId="9" fillId="0" borderId="33" xfId="76" applyFont="1" applyBorder="1" applyAlignment="1">
      <alignment horizontal="center" vertical="center" wrapText="1"/>
    </xf>
    <xf numFmtId="0" fontId="9" fillId="0" borderId="48" xfId="76" applyFont="1" applyBorder="1" applyAlignment="1">
      <alignment horizontal="center" vertical="center" wrapText="1"/>
    </xf>
    <xf numFmtId="0" fontId="9" fillId="0" borderId="16" xfId="76" applyFont="1" applyBorder="1" applyAlignment="1">
      <alignment horizontal="left" vertical="center" wrapText="1"/>
    </xf>
    <xf numFmtId="0" fontId="14" fillId="0" borderId="40" xfId="76" applyFont="1" applyBorder="1" applyAlignment="1">
      <alignment horizontal="left" vertical="center" wrapText="1"/>
    </xf>
    <xf numFmtId="0" fontId="9" fillId="0" borderId="24" xfId="76" applyFont="1" applyFill="1" applyBorder="1" applyAlignment="1">
      <alignment horizontal="center" wrapText="1"/>
    </xf>
    <xf numFmtId="0" fontId="9" fillId="0" borderId="34" xfId="76" applyFont="1" applyFill="1" applyBorder="1" applyAlignment="1">
      <alignment horizontal="center" wrapText="1"/>
    </xf>
    <xf numFmtId="0" fontId="9" fillId="0" borderId="16" xfId="76" applyFont="1" applyBorder="1" applyAlignment="1">
      <alignment horizontal="center" vertical="top" wrapText="1"/>
    </xf>
    <xf numFmtId="0" fontId="9" fillId="0" borderId="40" xfId="76" applyFont="1" applyBorder="1" applyAlignment="1">
      <alignment horizontal="center" vertical="top" wrapText="1"/>
    </xf>
    <xf numFmtId="0" fontId="17" fillId="0" borderId="0" xfId="80" applyFont="1" applyFill="1" applyBorder="1" applyAlignment="1">
      <alignment horizontal="center" wrapText="1"/>
    </xf>
    <xf numFmtId="0" fontId="17" fillId="0" borderId="0" xfId="82" applyFont="1" applyFill="1" applyBorder="1" applyAlignment="1">
      <alignment horizontal="center"/>
    </xf>
    <xf numFmtId="0" fontId="104" fillId="34" borderId="57" xfId="81" applyFont="1" applyFill="1" applyBorder="1" applyAlignment="1">
      <alignment horizontal="center" vertical="center"/>
    </xf>
    <xf numFmtId="0" fontId="120" fillId="34" borderId="57" xfId="81" applyFont="1" applyFill="1" applyBorder="1" applyAlignment="1">
      <alignment horizontal="center" vertical="center"/>
    </xf>
    <xf numFmtId="0" fontId="43" fillId="0" borderId="0" xfId="64" applyFont="1" applyBorder="1" applyAlignment="1">
      <alignment horizontal="left" vertical="center" wrapText="1"/>
    </xf>
    <xf numFmtId="0" fontId="43" fillId="0" borderId="12" xfId="64" applyFont="1" applyBorder="1" applyAlignment="1">
      <alignment horizontal="left" vertical="center" wrapText="1"/>
    </xf>
    <xf numFmtId="0" fontId="45" fillId="0" borderId="0" xfId="45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3" fillId="0" borderId="0" xfId="0" applyFont="1" applyAlignment="1"/>
    <xf numFmtId="0" fontId="139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/>
    <xf numFmtId="0" fontId="111" fillId="0" borderId="0" xfId="0" applyFont="1" applyAlignment="1"/>
    <xf numFmtId="0" fontId="17" fillId="0" borderId="0" xfId="67" applyFont="1" applyAlignment="1">
      <alignment horizontal="center"/>
    </xf>
    <xf numFmtId="0" fontId="111" fillId="0" borderId="0" xfId="0" applyFont="1" applyAlignment="1">
      <alignment wrapText="1"/>
    </xf>
    <xf numFmtId="0" fontId="157" fillId="0" borderId="0" xfId="0" applyFont="1" applyAlignment="1">
      <alignment horizontal="center" wrapText="1"/>
    </xf>
    <xf numFmtId="0" fontId="158" fillId="0" borderId="0" xfId="0" applyFont="1" applyAlignment="1">
      <alignment horizontal="center" wrapText="1"/>
    </xf>
    <xf numFmtId="0" fontId="151" fillId="0" borderId="57" xfId="0" applyFont="1" applyFill="1" applyBorder="1" applyAlignment="1">
      <alignment horizontal="center" vertical="center"/>
    </xf>
    <xf numFmtId="0" fontId="151" fillId="0" borderId="57" xfId="0" applyFont="1" applyFill="1" applyBorder="1" applyAlignment="1">
      <alignment vertical="center"/>
    </xf>
    <xf numFmtId="0" fontId="158" fillId="0" borderId="57" xfId="0" applyFont="1" applyBorder="1" applyAlignment="1">
      <alignment vertical="center"/>
    </xf>
    <xf numFmtId="0" fontId="10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9" fillId="0" borderId="57" xfId="0" applyFont="1" applyFill="1" applyBorder="1" applyAlignment="1">
      <alignment horizontal="center"/>
    </xf>
    <xf numFmtId="0" fontId="130" fillId="0" borderId="57" xfId="0" applyFont="1" applyBorder="1" applyAlignment="1"/>
    <xf numFmtId="0" fontId="0" fillId="0" borderId="57" xfId="0" applyBorder="1" applyAlignment="1"/>
    <xf numFmtId="0" fontId="17" fillId="0" borderId="0" xfId="0" applyFont="1" applyAlignment="1">
      <alignment horizontal="center" wrapText="1"/>
    </xf>
    <xf numFmtId="0" fontId="49" fillId="0" borderId="10" xfId="50" applyFont="1" applyBorder="1" applyAlignment="1">
      <alignment horizontal="center" wrapText="1"/>
    </xf>
    <xf numFmtId="0" fontId="45" fillId="0" borderId="0" xfId="68" applyFont="1" applyBorder="1" applyAlignment="1">
      <alignment horizontal="center" wrapText="1"/>
    </xf>
    <xf numFmtId="0" fontId="52" fillId="0" borderId="10" xfId="46" applyFont="1" applyBorder="1" applyAlignment="1">
      <alignment horizontal="center" vertical="center" wrapText="1"/>
    </xf>
    <xf numFmtId="0" fontId="104" fillId="0" borderId="10" xfId="58" applyFont="1" applyBorder="1" applyAlignment="1">
      <alignment horizontal="center" vertical="center" wrapText="1"/>
    </xf>
    <xf numFmtId="0" fontId="154" fillId="0" borderId="10" xfId="0" applyFont="1" applyBorder="1" applyAlignment="1">
      <alignment horizontal="center" vertical="center" wrapText="1"/>
    </xf>
    <xf numFmtId="0" fontId="104" fillId="0" borderId="0" xfId="46" applyFont="1" applyAlignment="1">
      <alignment horizontal="center"/>
    </xf>
    <xf numFmtId="0" fontId="52" fillId="0" borderId="0" xfId="58" applyFont="1" applyBorder="1" applyAlignment="1">
      <alignment horizontal="center"/>
    </xf>
    <xf numFmtId="0" fontId="101" fillId="0" borderId="0" xfId="58" applyFont="1" applyBorder="1" applyAlignment="1">
      <alignment horizontal="center" wrapText="1"/>
    </xf>
    <xf numFmtId="0" fontId="52" fillId="0" borderId="10" xfId="46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2" fillId="0" borderId="0" xfId="46" applyFont="1" applyAlignment="1">
      <alignment horizontal="center"/>
    </xf>
    <xf numFmtId="0" fontId="87" fillId="0" borderId="0" xfId="54" applyFont="1" applyAlignment="1">
      <alignment horizontal="center" wrapText="1"/>
    </xf>
    <xf numFmtId="0" fontId="17" fillId="0" borderId="0" xfId="46" applyFont="1" applyAlignment="1">
      <alignment horizontal="center"/>
    </xf>
    <xf numFmtId="0" fontId="45" fillId="0" borderId="0" xfId="57" applyFont="1" applyBorder="1" applyAlignment="1">
      <alignment horizontal="center" wrapText="1"/>
    </xf>
    <xf numFmtId="0" fontId="17" fillId="0" borderId="0" xfId="57" applyFont="1" applyBorder="1" applyAlignment="1">
      <alignment horizontal="center" vertical="center"/>
    </xf>
    <xf numFmtId="0" fontId="46" fillId="0" borderId="0" xfId="50" applyFont="1" applyBorder="1" applyAlignment="1">
      <alignment horizontal="center" vertical="center"/>
    </xf>
    <xf numFmtId="0" fontId="51" fillId="0" borderId="0" xfId="50" applyFont="1" applyAlignment="1"/>
    <xf numFmtId="0" fontId="101" fillId="0" borderId="0" xfId="68" applyFont="1" applyBorder="1" applyAlignment="1">
      <alignment horizontal="center" wrapText="1"/>
    </xf>
    <xf numFmtId="0" fontId="101" fillId="0" borderId="0" xfId="67" applyFont="1" applyBorder="1" applyAlignment="1">
      <alignment horizontal="center" wrapText="1"/>
    </xf>
    <xf numFmtId="0" fontId="17" fillId="0" borderId="0" xfId="46" applyFont="1" applyAlignment="1">
      <alignment horizontal="center" wrapText="1"/>
    </xf>
    <xf numFmtId="0" fontId="10" fillId="0" borderId="0" xfId="46" applyFont="1" applyAlignment="1">
      <alignment horizontal="center"/>
    </xf>
    <xf numFmtId="0" fontId="17" fillId="0" borderId="0" xfId="46" applyFont="1" applyAlignment="1">
      <alignment horizontal="center" vertical="center" wrapText="1"/>
    </xf>
    <xf numFmtId="0" fontId="101" fillId="36" borderId="11" xfId="67" applyFont="1" applyFill="1" applyBorder="1" applyAlignment="1">
      <alignment horizontal="left" vertical="center" wrapText="1"/>
    </xf>
    <xf numFmtId="0" fontId="101" fillId="36" borderId="46" xfId="67" applyFont="1" applyFill="1" applyBorder="1" applyAlignment="1">
      <alignment horizontal="left" vertical="center" wrapText="1"/>
    </xf>
    <xf numFmtId="0" fontId="101" fillId="36" borderId="23" xfId="67" applyFont="1" applyFill="1" applyBorder="1" applyAlignment="1">
      <alignment horizontal="left" vertical="center" wrapText="1"/>
    </xf>
    <xf numFmtId="0" fontId="101" fillId="0" borderId="0" xfId="67" applyFont="1" applyBorder="1" applyAlignment="1">
      <alignment horizontal="center" vertical="center" wrapText="1"/>
    </xf>
    <xf numFmtId="0" fontId="104" fillId="0" borderId="0" xfId="46" applyFont="1" applyAlignment="1">
      <alignment horizontal="center" vertical="center" wrapText="1"/>
    </xf>
    <xf numFmtId="0" fontId="101" fillId="36" borderId="47" xfId="67" applyFont="1" applyFill="1" applyBorder="1" applyAlignment="1">
      <alignment horizontal="left" vertical="center" wrapText="1"/>
    </xf>
    <xf numFmtId="0" fontId="101" fillId="36" borderId="44" xfId="67" applyFont="1" applyFill="1" applyBorder="1" applyAlignment="1">
      <alignment horizontal="left" vertical="center" wrapText="1"/>
    </xf>
    <xf numFmtId="0" fontId="101" fillId="36" borderId="51" xfId="67" applyFont="1" applyFill="1" applyBorder="1" applyAlignment="1">
      <alignment horizontal="left" vertical="center" wrapText="1"/>
    </xf>
    <xf numFmtId="0" fontId="103" fillId="0" borderId="0" xfId="46" applyFont="1" applyFill="1" applyBorder="1" applyAlignment="1">
      <alignment vertical="center"/>
    </xf>
    <xf numFmtId="0" fontId="62" fillId="0" borderId="28" xfId="67" applyFont="1" applyFill="1" applyBorder="1" applyAlignment="1">
      <alignment vertical="center" wrapText="1"/>
    </xf>
    <xf numFmtId="0" fontId="103" fillId="0" borderId="10" xfId="67" applyFont="1" applyFill="1" applyBorder="1" applyAlignment="1">
      <alignment vertical="center" wrapText="1"/>
    </xf>
    <xf numFmtId="3" fontId="126" fillId="0" borderId="10" xfId="0" applyNumberFormat="1" applyFont="1" applyFill="1" applyBorder="1" applyAlignment="1">
      <alignment vertical="center"/>
    </xf>
    <xf numFmtId="3" fontId="126" fillId="0" borderId="29" xfId="0" applyNumberFormat="1" applyFont="1" applyFill="1" applyBorder="1" applyAlignment="1">
      <alignment vertical="center"/>
    </xf>
    <xf numFmtId="0" fontId="6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126" fillId="0" borderId="10" xfId="0" applyNumberFormat="1" applyFont="1" applyFill="1" applyBorder="1" applyAlignment="1">
      <alignment horizontal="right" vertical="center"/>
    </xf>
    <xf numFmtId="3" fontId="126" fillId="0" borderId="29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right" vertical="center"/>
    </xf>
    <xf numFmtId="3" fontId="127" fillId="29" borderId="10" xfId="0" applyNumberFormat="1" applyFont="1" applyFill="1" applyBorder="1" applyAlignment="1">
      <alignment horizontal="right" vertical="center"/>
    </xf>
    <xf numFmtId="3" fontId="127" fillId="29" borderId="29" xfId="0" applyNumberFormat="1" applyFont="1" applyFill="1" applyBorder="1" applyAlignment="1">
      <alignment horizontal="right" vertical="center"/>
    </xf>
    <xf numFmtId="3" fontId="127" fillId="29" borderId="24" xfId="0" applyNumberFormat="1" applyFont="1" applyFill="1" applyBorder="1" applyAlignment="1">
      <alignment horizontal="right" vertical="center"/>
    </xf>
    <xf numFmtId="3" fontId="127" fillId="29" borderId="30" xfId="0" applyNumberFormat="1" applyFont="1" applyFill="1" applyBorder="1" applyAlignment="1">
      <alignment horizontal="right" vertical="center"/>
    </xf>
    <xf numFmtId="3" fontId="127" fillId="24" borderId="19" xfId="0" applyNumberFormat="1" applyFont="1" applyFill="1" applyBorder="1" applyAlignment="1">
      <alignment horizontal="right" vertical="center"/>
    </xf>
    <xf numFmtId="3" fontId="127" fillId="24" borderId="17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111" fillId="0" borderId="0" xfId="0" applyFont="1" applyAlignment="1">
      <alignment vertical="center"/>
    </xf>
    <xf numFmtId="0" fontId="52" fillId="0" borderId="70" xfId="58" applyFont="1" applyBorder="1" applyAlignment="1">
      <alignment horizontal="center" vertical="center" wrapText="1"/>
    </xf>
    <xf numFmtId="2" fontId="62" fillId="0" borderId="70" xfId="46" applyNumberFormat="1" applyFont="1" applyBorder="1" applyAlignment="1">
      <alignment vertical="center"/>
    </xf>
    <xf numFmtId="2" fontId="52" fillId="0" borderId="70" xfId="58" applyNumberFormat="1" applyFont="1" applyBorder="1" applyAlignment="1">
      <alignment vertical="center"/>
    </xf>
    <xf numFmtId="0" fontId="101" fillId="0" borderId="0" xfId="68" applyFont="1" applyBorder="1" applyAlignment="1">
      <alignment horizontal="center" vertical="center" wrapText="1"/>
    </xf>
    <xf numFmtId="0" fontId="101" fillId="0" borderId="0" xfId="68" applyFont="1" applyBorder="1" applyAlignment="1">
      <alignment horizontal="center" vertical="center" wrapText="1"/>
    </xf>
    <xf numFmtId="0" fontId="17" fillId="0" borderId="0" xfId="46" applyFont="1" applyAlignment="1">
      <alignment vertical="center"/>
    </xf>
    <xf numFmtId="0" fontId="8" fillId="0" borderId="0" xfId="46" applyAlignment="1">
      <alignment vertical="center"/>
    </xf>
    <xf numFmtId="0" fontId="104" fillId="0" borderId="0" xfId="46" applyFont="1" applyAlignment="1">
      <alignment horizontal="center" vertical="center"/>
    </xf>
  </cellXfs>
  <cellStyles count="87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Ezres 2" xfId="26"/>
    <cellStyle name="Ezres 2 2" xfId="27"/>
    <cellStyle name="Ezres 3" xfId="28"/>
    <cellStyle name="Ezres 4" xfId="29"/>
    <cellStyle name="Ezres_2012. évi költségvetés" xfId="30"/>
    <cellStyle name="Ezres_Költségvetés 2005." xfId="31"/>
    <cellStyle name="Ezres_LIKVIDITÁS kezelés2013" xfId="32"/>
    <cellStyle name="Figyelmeztetés 2" xfId="33"/>
    <cellStyle name="Hivatkozott cella 2" xfId="34"/>
    <cellStyle name="Jegyzet 2" xfId="35"/>
    <cellStyle name="Jelölőszín (1) 2" xfId="36"/>
    <cellStyle name="Jelölőszín (2) 2" xfId="37"/>
    <cellStyle name="Jelölőszín (3) 2" xfId="38"/>
    <cellStyle name="Jelölőszín (4) 2" xfId="39"/>
    <cellStyle name="Jelölőszín (5) 2" xfId="40"/>
    <cellStyle name="Jelölőszín (6) 2" xfId="41"/>
    <cellStyle name="Jó 2" xfId="42"/>
    <cellStyle name="Kimenet 2" xfId="43"/>
    <cellStyle name="Magyarázó szöveg 2" xfId="44"/>
    <cellStyle name="Normál" xfId="0" builtinId="0"/>
    <cellStyle name="Normál 2" xfId="45"/>
    <cellStyle name="Normál 2 2" xfId="46"/>
    <cellStyle name="Normál 2 3" xfId="47"/>
    <cellStyle name="Normál 2 3 2" xfId="85"/>
    <cellStyle name="Normál 2 3 2 2" xfId="86"/>
    <cellStyle name="Normál 2 4" xfId="48"/>
    <cellStyle name="Normál 2 4 2" xfId="78"/>
    <cellStyle name="Normál 2 5" xfId="79"/>
    <cellStyle name="Normál 2_Másolat - Honalprol letöltött 2015-ös" xfId="49"/>
    <cellStyle name="Normál 3" xfId="50"/>
    <cellStyle name="Normál 4" xfId="51"/>
    <cellStyle name="Normál 5" xfId="52"/>
    <cellStyle name="Normál 5 2" xfId="84"/>
    <cellStyle name="Normál 6" xfId="53"/>
    <cellStyle name="Normál 7" xfId="54"/>
    <cellStyle name="Normál_2003.évi költségvetés  xls" xfId="55"/>
    <cellStyle name="Normál_2004.évi költg.v. terv .xls" xfId="56"/>
    <cellStyle name="Normál_2004.évi költg.v. terv .xls 2" xfId="57"/>
    <cellStyle name="Normál_2004.évi költg.v. terv .xls 3 2" xfId="82"/>
    <cellStyle name="Normál_2005.koncepció xls" xfId="58"/>
    <cellStyle name="Normál_2005.koncepció xls 2" xfId="59"/>
    <cellStyle name="Normál_2011. évi költségvetés kihirdetésre javított" xfId="60"/>
    <cellStyle name="Normál_2012. évi költségvetés" xfId="61"/>
    <cellStyle name="Normál_2012. évi költségvetés 2 2" xfId="81"/>
    <cellStyle name="Normál_2014 évi költségvetés előirányzatok költségvetéshez" xfId="62"/>
    <cellStyle name="Normál_4-5.sz. melléklet_02_normatíva Katinak 2012 2" xfId="83"/>
    <cellStyle name="Normál_97ûrlap" xfId="63"/>
    <cellStyle name="Normál_dologi kimutatás 2009-2010.összesítve" xfId="64"/>
    <cellStyle name="Normál_dologi kimutatás 2009-2010.összesítve 2" xfId="65"/>
    <cellStyle name="Normál_Igény-elszám.2009-2010 Civilek_2011. évi költségvetés kihirdetésre javított" xfId="66"/>
    <cellStyle name="Normál_Költségvetés 2005." xfId="67"/>
    <cellStyle name="Normál_Költségvetés 2005. 2" xfId="68"/>
    <cellStyle name="Normál_Költségvetés 2005. 3 2" xfId="80"/>
    <cellStyle name="Normal_KTRSZJ" xfId="69"/>
    <cellStyle name="Normál_LIKVIDITÁS kezelés2013" xfId="70"/>
    <cellStyle name="Normál_Pilisvörösvár(1) 2" xfId="76"/>
    <cellStyle name="Normál_Státusz hivatal" xfId="71"/>
    <cellStyle name="Összesen 2" xfId="72"/>
    <cellStyle name="Rossz 2" xfId="73"/>
    <cellStyle name="Semleges 2" xfId="74"/>
    <cellStyle name="Számítás 2" xfId="75"/>
    <cellStyle name="Százalék" xfId="7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Ktgvet.m&#243;dosit&#225;s/2003.%20&#233;vi%20k&#246;lts&#233;gvet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Hitelek,munk&#225;ltat&#243;i/2003.%20&#233;vi%20k&#246;lts&#233;gvet&#233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Content.IE5/AB8BUPK3/KOLTSEGV/2003.%20&#233;vi%20k&#246;lts&#233;gvet&#233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Content.IE5/4HQ78TAR/2003.%20&#233;vi%20k&#246;lts&#233;gvet&#233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KOLTSEGV\2003.%20&#233;vi%20k&#246;lts&#233;gvet&#233;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hasznalo/Documents/Andrea/K&#246;lts&#233;gvet&#233;s/2018/2018.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_2017"/>
      <sheetName val="1.Bev_kiad_kiemelt ei"/>
      <sheetName val="2.Bevételek_részletes"/>
      <sheetName val="2.Kiadások_részletes "/>
      <sheetName val="3. Gesz költségvetés"/>
      <sheetName val="4. Köt+önk_Önkori"/>
      <sheetName val="5. Köt+önk_PH"/>
      <sheetName val="6. Köt+önk_Szakorvosi"/>
      <sheetName val="7.Ligeti cseperedő Ovi (2)"/>
      <sheetName val="8.Német nemzetiségi Ovi (2)"/>
      <sheetName val="9.Művészetek Háza"/>
      <sheetName val="10.GESZ"/>
      <sheetName val="11. Bölcsöde"/>
      <sheetName val="12. Támogatási bevételek (B (2)"/>
      <sheetName val="13. Költségvetési támogatások"/>
      <sheetName val="14. Intézményi normatíva"/>
      <sheetName val="15. Működési bev. (B3,B4)"/>
      <sheetName val="16. Átvett pénze.(B6,B7)"/>
      <sheetName val="17. finanszírozás be_ki (B8,K9)"/>
      <sheetName val="18. Dologi kiadások cofog(K3)"/>
      <sheetName val="19. Dologi kiad.igazg. (K3)"/>
      <sheetName val="20. Ellátottak p.jutattás (K4)"/>
      <sheetName val="21. Pe. átad. és tám. (K5)"/>
      <sheetName val="22. Tartalékok (K512)"/>
      <sheetName val="23. Beruházás (K6)"/>
      <sheetName val="24. Felújítás (K7)"/>
      <sheetName val="25. Több éves elköt."/>
      <sheetName val="26.sz.létszám"/>
      <sheetName val="27. ktgv.mérleg"/>
      <sheetName val="28.eir.felh.ütemterv"/>
      <sheetName val="29.sz.finansz.ütemterv"/>
      <sheetName val="30.sz.közvetett tám. (2)"/>
      <sheetName val="31.sz.adósságszolgálat"/>
      <sheetName val="32. gördülő"/>
    </sheetNames>
    <sheetDataSet>
      <sheetData sheetId="0">
        <row r="21">
          <cell r="B21" t="str">
            <v xml:space="preserve">Pilisvörösvár Város Önkormányzata intézményi normatíva kimutatása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Pilisvörösvár Város Önkormányzata Képviselő-testületének /2018. (. .) önkormányzati rendelete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K40"/>
  <sheetViews>
    <sheetView tabSelected="1" view="pageBreakPreview" zoomScale="80" zoomScaleNormal="75" zoomScaleSheetLayoutView="80" workbookViewId="0">
      <selection sqref="A1:B1"/>
    </sheetView>
  </sheetViews>
  <sheetFormatPr defaultRowHeight="20.25" x14ac:dyDescent="0.3"/>
  <cols>
    <col min="1" max="1" width="40" style="720" customWidth="1"/>
    <col min="2" max="2" width="194.7109375" style="720" customWidth="1"/>
    <col min="3" max="3" width="184.28515625" style="298" customWidth="1"/>
    <col min="4" max="16384" width="9.140625" style="298"/>
  </cols>
  <sheetData>
    <row r="1" spans="1:11" ht="30.75" x14ac:dyDescent="0.45">
      <c r="A1" s="1814" t="s">
        <v>1153</v>
      </c>
      <c r="B1" s="1815"/>
      <c r="C1" s="1280"/>
    </row>
    <row r="2" spans="1:11" ht="30" customHeight="1" x14ac:dyDescent="0.4">
      <c r="A2" s="1814" t="s">
        <v>947</v>
      </c>
      <c r="B2" s="1815"/>
      <c r="C2" s="1279"/>
      <c r="D2" s="369"/>
    </row>
    <row r="3" spans="1:11" ht="34.5" customHeight="1" x14ac:dyDescent="0.4">
      <c r="A3" s="1814" t="s">
        <v>530</v>
      </c>
      <c r="B3" s="1815"/>
      <c r="C3" s="1279"/>
      <c r="D3" s="369"/>
    </row>
    <row r="4" spans="1:11" x14ac:dyDescent="0.3">
      <c r="A4" s="1813"/>
      <c r="B4" s="1813"/>
      <c r="C4" s="1813"/>
      <c r="D4" s="369"/>
    </row>
    <row r="5" spans="1:11" x14ac:dyDescent="0.3">
      <c r="A5" s="715"/>
      <c r="B5" s="1069"/>
      <c r="C5" s="299"/>
      <c r="D5" s="369"/>
    </row>
    <row r="6" spans="1:11" ht="51.95" customHeight="1" x14ac:dyDescent="0.3">
      <c r="A6" s="638" t="s">
        <v>531</v>
      </c>
      <c r="B6" s="638" t="s">
        <v>532</v>
      </c>
      <c r="C6" s="369"/>
    </row>
    <row r="7" spans="1:11" s="345" customFormat="1" ht="51.95" customHeight="1" x14ac:dyDescent="0.4">
      <c r="A7" s="721" t="s">
        <v>533</v>
      </c>
      <c r="B7" s="344" t="s">
        <v>1098</v>
      </c>
      <c r="E7" s="589"/>
      <c r="F7" s="589"/>
    </row>
    <row r="8" spans="1:11" s="347" customFormat="1" ht="51.95" customHeight="1" x14ac:dyDescent="0.4">
      <c r="A8" s="721" t="s">
        <v>679</v>
      </c>
      <c r="B8" s="346" t="s">
        <v>1099</v>
      </c>
      <c r="E8" s="589"/>
      <c r="F8" s="298"/>
      <c r="G8" s="298"/>
      <c r="H8" s="298"/>
      <c r="I8" s="298"/>
      <c r="J8" s="298"/>
    </row>
    <row r="9" spans="1:11" s="347" customFormat="1" ht="51.95" customHeight="1" x14ac:dyDescent="0.4">
      <c r="A9" s="721" t="s">
        <v>680</v>
      </c>
      <c r="B9" s="346" t="s">
        <v>1100</v>
      </c>
      <c r="D9" s="298"/>
      <c r="E9" s="589"/>
    </row>
    <row r="10" spans="1:11" s="347" customFormat="1" ht="51.95" customHeight="1" x14ac:dyDescent="0.4">
      <c r="A10" s="721" t="s">
        <v>534</v>
      </c>
      <c r="B10" s="346" t="s">
        <v>926</v>
      </c>
      <c r="C10" s="348"/>
      <c r="D10" s="348"/>
      <c r="E10" s="348"/>
      <c r="F10" s="348"/>
      <c r="G10" s="348"/>
    </row>
    <row r="11" spans="1:11" s="347" customFormat="1" ht="51.95" customHeight="1" x14ac:dyDescent="0.4">
      <c r="A11" s="721" t="s">
        <v>535</v>
      </c>
      <c r="B11" s="346" t="s">
        <v>1101</v>
      </c>
      <c r="C11" s="349"/>
      <c r="D11" s="349"/>
      <c r="E11" s="349"/>
      <c r="F11" s="349"/>
      <c r="G11" s="349"/>
    </row>
    <row r="12" spans="1:11" s="347" customFormat="1" ht="51.95" customHeight="1" x14ac:dyDescent="0.4">
      <c r="A12" s="721" t="s">
        <v>536</v>
      </c>
      <c r="B12" s="346" t="s">
        <v>927</v>
      </c>
      <c r="C12" s="350"/>
      <c r="D12" s="350"/>
      <c r="E12" s="350"/>
      <c r="F12" s="350"/>
      <c r="G12" s="350"/>
      <c r="H12" s="350"/>
      <c r="I12" s="350"/>
      <c r="J12" s="350"/>
      <c r="K12" s="350"/>
    </row>
    <row r="13" spans="1:11" s="347" customFormat="1" ht="51.95" customHeight="1" x14ac:dyDescent="0.4">
      <c r="A13" s="721" t="s">
        <v>537</v>
      </c>
      <c r="B13" s="346" t="s">
        <v>453</v>
      </c>
      <c r="C13" s="351"/>
      <c r="D13" s="351"/>
      <c r="E13" s="351"/>
      <c r="F13" s="352"/>
      <c r="G13" s="352"/>
      <c r="H13" s="352"/>
    </row>
    <row r="14" spans="1:11" s="347" customFormat="1" ht="51.95" customHeight="1" x14ac:dyDescent="0.4">
      <c r="A14" s="721" t="s">
        <v>538</v>
      </c>
      <c r="B14" s="346" t="s">
        <v>454</v>
      </c>
      <c r="C14" s="349"/>
      <c r="D14" s="349"/>
      <c r="E14" s="349"/>
      <c r="F14" s="349"/>
      <c r="G14" s="349"/>
      <c r="H14" s="349"/>
      <c r="I14" s="349"/>
    </row>
    <row r="15" spans="1:11" s="347" customFormat="1" ht="51.95" customHeight="1" x14ac:dyDescent="0.4">
      <c r="A15" s="721" t="s">
        <v>539</v>
      </c>
      <c r="B15" s="346" t="s">
        <v>810</v>
      </c>
      <c r="C15" s="349"/>
      <c r="D15" s="349"/>
      <c r="E15" s="349"/>
      <c r="F15" s="349"/>
      <c r="G15" s="349"/>
      <c r="H15" s="349"/>
    </row>
    <row r="16" spans="1:11" s="347" customFormat="1" ht="51.95" customHeight="1" x14ac:dyDescent="0.4">
      <c r="A16" s="721" t="s">
        <v>540</v>
      </c>
      <c r="B16" s="346" t="s">
        <v>811</v>
      </c>
      <c r="C16" s="353"/>
    </row>
    <row r="17" spans="1:6" s="347" customFormat="1" ht="51.95" customHeight="1" x14ac:dyDescent="0.4">
      <c r="A17" s="721" t="s">
        <v>541</v>
      </c>
      <c r="B17" s="346" t="s">
        <v>928</v>
      </c>
      <c r="C17" s="354"/>
      <c r="D17" s="354"/>
      <c r="E17" s="354"/>
      <c r="F17" s="354"/>
    </row>
    <row r="18" spans="1:6" s="347" customFormat="1" ht="51.95" customHeight="1" x14ac:dyDescent="0.4">
      <c r="A18" s="721" t="s">
        <v>542</v>
      </c>
      <c r="B18" s="344" t="s">
        <v>780</v>
      </c>
      <c r="C18" s="354"/>
      <c r="D18" s="354"/>
      <c r="E18" s="354"/>
      <c r="F18" s="354"/>
    </row>
    <row r="19" spans="1:6" s="347" customFormat="1" ht="51.95" customHeight="1" x14ac:dyDescent="0.4">
      <c r="A19" s="721" t="s">
        <v>543</v>
      </c>
      <c r="B19" s="346" t="s">
        <v>1102</v>
      </c>
    </row>
    <row r="20" spans="1:6" s="356" customFormat="1" ht="51.95" customHeight="1" x14ac:dyDescent="0.4">
      <c r="A20" s="721" t="s">
        <v>544</v>
      </c>
      <c r="B20" s="355" t="s">
        <v>1103</v>
      </c>
    </row>
    <row r="21" spans="1:6" s="356" customFormat="1" ht="51.95" customHeight="1" x14ac:dyDescent="0.4">
      <c r="A21" s="721" t="s">
        <v>546</v>
      </c>
      <c r="B21" s="346" t="s">
        <v>545</v>
      </c>
    </row>
    <row r="22" spans="1:6" s="356" customFormat="1" ht="51.95" customHeight="1" x14ac:dyDescent="0.4">
      <c r="A22" s="721" t="s">
        <v>547</v>
      </c>
      <c r="B22" s="346" t="s">
        <v>929</v>
      </c>
    </row>
    <row r="23" spans="1:6" s="356" customFormat="1" ht="51.95" customHeight="1" x14ac:dyDescent="0.4">
      <c r="A23" s="721" t="s">
        <v>548</v>
      </c>
      <c r="B23" s="346" t="s">
        <v>781</v>
      </c>
    </row>
    <row r="24" spans="1:6" s="356" customFormat="1" ht="51.95" customHeight="1" x14ac:dyDescent="0.4">
      <c r="A24" s="721" t="s">
        <v>549</v>
      </c>
      <c r="B24" s="346" t="s">
        <v>550</v>
      </c>
    </row>
    <row r="25" spans="1:6" s="356" customFormat="1" ht="51.95" customHeight="1" x14ac:dyDescent="0.4">
      <c r="A25" s="721" t="s">
        <v>551</v>
      </c>
      <c r="B25" s="346" t="s">
        <v>930</v>
      </c>
    </row>
    <row r="26" spans="1:6" s="356" customFormat="1" ht="51.95" customHeight="1" x14ac:dyDescent="0.4">
      <c r="A26" s="721" t="s">
        <v>552</v>
      </c>
      <c r="B26" s="346" t="s">
        <v>691</v>
      </c>
    </row>
    <row r="27" spans="1:6" s="356" customFormat="1" ht="51.95" customHeight="1" x14ac:dyDescent="0.4">
      <c r="A27" s="721" t="s">
        <v>553</v>
      </c>
      <c r="B27" s="346" t="s">
        <v>692</v>
      </c>
    </row>
    <row r="28" spans="1:6" s="356" customFormat="1" ht="51.95" customHeight="1" x14ac:dyDescent="0.4">
      <c r="A28" s="721" t="s">
        <v>554</v>
      </c>
      <c r="B28" s="346" t="s">
        <v>782</v>
      </c>
    </row>
    <row r="29" spans="1:6" s="356" customFormat="1" ht="51.95" customHeight="1" x14ac:dyDescent="0.4">
      <c r="A29" s="721" t="s">
        <v>555</v>
      </c>
      <c r="B29" s="346" t="s">
        <v>783</v>
      </c>
    </row>
    <row r="30" spans="1:6" s="356" customFormat="1" ht="51.95" customHeight="1" x14ac:dyDescent="0.4">
      <c r="A30" s="721" t="s">
        <v>556</v>
      </c>
      <c r="B30" s="346" t="s">
        <v>805</v>
      </c>
    </row>
    <row r="31" spans="1:6" s="356" customFormat="1" ht="51.95" customHeight="1" x14ac:dyDescent="0.4">
      <c r="A31" s="721" t="s">
        <v>557</v>
      </c>
      <c r="B31" s="346" t="s">
        <v>806</v>
      </c>
    </row>
    <row r="32" spans="1:6" s="356" customFormat="1" ht="51.95" customHeight="1" x14ac:dyDescent="0.4">
      <c r="A32" s="721" t="s">
        <v>559</v>
      </c>
      <c r="B32" s="346" t="s">
        <v>784</v>
      </c>
    </row>
    <row r="33" spans="1:6" s="356" customFormat="1" ht="51.95" customHeight="1" x14ac:dyDescent="0.4">
      <c r="A33" s="721" t="s">
        <v>560</v>
      </c>
      <c r="B33" s="346" t="s">
        <v>558</v>
      </c>
    </row>
    <row r="34" spans="1:6" s="356" customFormat="1" ht="51.95" customHeight="1" x14ac:dyDescent="0.4">
      <c r="A34" s="722" t="s">
        <v>561</v>
      </c>
      <c r="B34" s="346" t="s">
        <v>684</v>
      </c>
    </row>
    <row r="35" spans="1:6" s="356" customFormat="1" ht="51.95" customHeight="1" x14ac:dyDescent="0.4">
      <c r="A35" s="722" t="s">
        <v>562</v>
      </c>
      <c r="B35" s="346" t="s">
        <v>785</v>
      </c>
    </row>
    <row r="36" spans="1:6" s="356" customFormat="1" ht="51.95" customHeight="1" x14ac:dyDescent="0.4">
      <c r="A36" s="722" t="s">
        <v>563</v>
      </c>
      <c r="B36" s="346" t="s">
        <v>1104</v>
      </c>
    </row>
    <row r="37" spans="1:6" s="356" customFormat="1" ht="51.95" customHeight="1" x14ac:dyDescent="0.4">
      <c r="A37" s="722" t="s">
        <v>564</v>
      </c>
      <c r="B37" s="346" t="s">
        <v>786</v>
      </c>
    </row>
    <row r="38" spans="1:6" s="356" customFormat="1" ht="51.95" customHeight="1" x14ac:dyDescent="0.4">
      <c r="A38" s="722" t="s">
        <v>670</v>
      </c>
      <c r="B38" s="346" t="s">
        <v>690</v>
      </c>
    </row>
    <row r="39" spans="1:6" s="356" customFormat="1" ht="51.95" customHeight="1" x14ac:dyDescent="0.4">
      <c r="A39" s="722" t="s">
        <v>804</v>
      </c>
      <c r="B39" s="639" t="s">
        <v>0</v>
      </c>
      <c r="C39" s="351"/>
      <c r="D39" s="351"/>
    </row>
    <row r="40" spans="1:6" ht="63.75" customHeight="1" x14ac:dyDescent="0.3">
      <c r="A40" s="722" t="s">
        <v>1093</v>
      </c>
      <c r="B40" s="346" t="s">
        <v>1076</v>
      </c>
      <c r="D40" s="300"/>
      <c r="E40" s="300"/>
      <c r="F40" s="300"/>
    </row>
  </sheetData>
  <mergeCells count="4">
    <mergeCell ref="A4:C4"/>
    <mergeCell ref="A1:B1"/>
    <mergeCell ref="A2:B2"/>
    <mergeCell ref="A3:B3"/>
  </mergeCells>
  <phoneticPr fontId="57" type="noConversion"/>
  <printOptions horizontalCentered="1"/>
  <pageMargins left="0.25" right="0.25" top="0.75" bottom="0.75" header="0.3" footer="0.3"/>
  <pageSetup paperSize="9" scale="36" orientation="portrait" verticalDpi="7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SheetLayoutView="100" workbookViewId="0">
      <selection sqref="A1:F1"/>
    </sheetView>
  </sheetViews>
  <sheetFormatPr defaultRowHeight="15" customHeight="1" x14ac:dyDescent="0.2"/>
  <cols>
    <col min="1" max="1" width="14.140625" style="97" customWidth="1"/>
    <col min="2" max="2" width="75.140625" style="97" customWidth="1"/>
    <col min="3" max="3" width="17.85546875" style="97" customWidth="1"/>
    <col min="4" max="4" width="12.5703125" style="97" customWidth="1"/>
    <col min="5" max="5" width="13" style="97" customWidth="1"/>
    <col min="6" max="6" width="14.42578125" style="97" customWidth="1"/>
    <col min="7" max="16384" width="9.140625" style="97"/>
  </cols>
  <sheetData>
    <row r="1" spans="1:6" ht="18.75" x14ac:dyDescent="0.3">
      <c r="A1" s="1837" t="str">
        <f>'7.Ligeti cseperedő Ovi'!A1:F1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</row>
    <row r="2" spans="1:6" ht="18.75" x14ac:dyDescent="0.3">
      <c r="A2" s="1837" t="str">
        <f>'7.Ligeti cseperedő Ovi'!A2:F2</f>
        <v>az Önkormányzat  2018. évi költségvetéséről</v>
      </c>
      <c r="B2" s="1837"/>
      <c r="C2" s="1837"/>
      <c r="D2" s="1837"/>
      <c r="E2" s="1837"/>
      <c r="F2" s="1837"/>
    </row>
    <row r="4" spans="1:6" ht="15.75" x14ac:dyDescent="0.25">
      <c r="A4" s="1841" t="str">
        <f>Tartalomjegyzék_2018!B15</f>
        <v>Pilisvörösvári Német Nemzetiségi Óvoda költségvetése kötelező és önként vállalt feladat szerinti bontásban</v>
      </c>
      <c r="B4" s="1841"/>
      <c r="C4" s="1841"/>
      <c r="D4" s="1841"/>
      <c r="E4" s="1841"/>
      <c r="F4" s="1841"/>
    </row>
    <row r="5" spans="1:6" ht="18.75" x14ac:dyDescent="0.3">
      <c r="F5" s="318" t="s">
        <v>17</v>
      </c>
    </row>
    <row r="6" spans="1:6" ht="15" customHeight="1" thickBot="1" x14ac:dyDescent="0.35">
      <c r="F6" s="318" t="s">
        <v>329</v>
      </c>
    </row>
    <row r="7" spans="1:6" ht="18.75" customHeight="1" x14ac:dyDescent="0.2">
      <c r="A7" s="1830" t="s">
        <v>370</v>
      </c>
      <c r="B7" s="1832" t="s">
        <v>787</v>
      </c>
      <c r="C7" s="1832" t="s">
        <v>1056</v>
      </c>
      <c r="D7" s="1834" t="s">
        <v>1057</v>
      </c>
      <c r="E7" s="1835"/>
      <c r="F7" s="1836"/>
    </row>
    <row r="8" spans="1:6" ht="49.5" x14ac:dyDescent="0.2">
      <c r="A8" s="1831"/>
      <c r="B8" s="1833"/>
      <c r="C8" s="1833"/>
      <c r="D8" s="1386" t="s">
        <v>159</v>
      </c>
      <c r="E8" s="1386" t="s">
        <v>160</v>
      </c>
      <c r="F8" s="1414" t="s">
        <v>371</v>
      </c>
    </row>
    <row r="9" spans="1:6" s="54" customFormat="1" ht="15" customHeight="1" x14ac:dyDescent="0.25">
      <c r="A9" s="114" t="s">
        <v>381</v>
      </c>
      <c r="B9" s="115" t="s">
        <v>380</v>
      </c>
      <c r="C9" s="115"/>
      <c r="D9" s="126"/>
      <c r="E9" s="126"/>
      <c r="F9" s="127">
        <f>D9+E9</f>
        <v>0</v>
      </c>
    </row>
    <row r="10" spans="1:6" s="54" customFormat="1" ht="15" customHeight="1" x14ac:dyDescent="0.25">
      <c r="A10" s="114" t="s">
        <v>383</v>
      </c>
      <c r="B10" s="115" t="s">
        <v>382</v>
      </c>
      <c r="C10" s="115"/>
      <c r="D10" s="126"/>
      <c r="E10" s="126"/>
      <c r="F10" s="127">
        <f t="shared" ref="F10:F40" si="0">D10+E10</f>
        <v>0</v>
      </c>
    </row>
    <row r="11" spans="1:6" s="54" customFormat="1" ht="15" customHeight="1" x14ac:dyDescent="0.25">
      <c r="A11" s="122" t="s">
        <v>385</v>
      </c>
      <c r="B11" s="105" t="s">
        <v>384</v>
      </c>
      <c r="C11" s="105"/>
      <c r="D11" s="154"/>
      <c r="E11" s="154"/>
      <c r="F11" s="127">
        <f t="shared" si="0"/>
        <v>0</v>
      </c>
    </row>
    <row r="12" spans="1:6" ht="15" customHeight="1" x14ac:dyDescent="0.25">
      <c r="A12" s="122" t="s">
        <v>389</v>
      </c>
      <c r="B12" s="105" t="s">
        <v>388</v>
      </c>
      <c r="C12" s="105"/>
      <c r="D12" s="154"/>
      <c r="E12" s="154"/>
      <c r="F12" s="127">
        <f t="shared" si="0"/>
        <v>0</v>
      </c>
    </row>
    <row r="13" spans="1:6" ht="15" customHeight="1" x14ac:dyDescent="0.25">
      <c r="A13" s="861" t="s">
        <v>153</v>
      </c>
      <c r="B13" s="862" t="s">
        <v>165</v>
      </c>
      <c r="C13" s="862"/>
      <c r="D13" s="154"/>
      <c r="E13" s="154"/>
      <c r="F13" s="127">
        <f t="shared" si="0"/>
        <v>0</v>
      </c>
    </row>
    <row r="14" spans="1:6" s="54" customFormat="1" ht="15" customHeight="1" x14ac:dyDescent="0.25">
      <c r="A14" s="114" t="s">
        <v>111</v>
      </c>
      <c r="B14" s="115" t="s">
        <v>164</v>
      </c>
      <c r="C14" s="115"/>
      <c r="D14" s="126"/>
      <c r="E14" s="126"/>
      <c r="F14" s="127">
        <f t="shared" si="0"/>
        <v>0</v>
      </c>
    </row>
    <row r="15" spans="1:6" s="54" customFormat="1" ht="15" customHeight="1" x14ac:dyDescent="0.25">
      <c r="A15" s="114" t="s">
        <v>392</v>
      </c>
      <c r="B15" s="115" t="s">
        <v>161</v>
      </c>
      <c r="C15" s="115"/>
      <c r="D15" s="126"/>
      <c r="E15" s="126"/>
      <c r="F15" s="127">
        <f t="shared" si="0"/>
        <v>0</v>
      </c>
    </row>
    <row r="16" spans="1:6" s="54" customFormat="1" ht="15" customHeight="1" x14ac:dyDescent="0.25">
      <c r="A16" s="122" t="s">
        <v>394</v>
      </c>
      <c r="B16" s="105" t="s">
        <v>393</v>
      </c>
      <c r="C16" s="105"/>
      <c r="D16" s="154"/>
      <c r="E16" s="154"/>
      <c r="F16" s="127">
        <f t="shared" si="0"/>
        <v>0</v>
      </c>
    </row>
    <row r="17" spans="1:6" s="54" customFormat="1" ht="15" customHeight="1" x14ac:dyDescent="0.25">
      <c r="A17" s="114" t="s">
        <v>123</v>
      </c>
      <c r="B17" s="107" t="s">
        <v>395</v>
      </c>
      <c r="C17" s="107"/>
      <c r="D17" s="126"/>
      <c r="E17" s="126"/>
      <c r="F17" s="127">
        <f t="shared" si="0"/>
        <v>0</v>
      </c>
    </row>
    <row r="18" spans="1:6" s="54" customFormat="1" ht="15" customHeight="1" x14ac:dyDescent="0.25">
      <c r="A18" s="114" t="s">
        <v>122</v>
      </c>
      <c r="B18" s="115" t="s">
        <v>125</v>
      </c>
      <c r="C18" s="1416">
        <v>300</v>
      </c>
      <c r="D18" s="1430"/>
      <c r="E18" s="126">
        <f>'3. Gesz költségvetés'!F19</f>
        <v>300</v>
      </c>
      <c r="F18" s="127">
        <f t="shared" si="0"/>
        <v>300</v>
      </c>
    </row>
    <row r="19" spans="1:6" s="54" customFormat="1" ht="15" customHeight="1" x14ac:dyDescent="0.25">
      <c r="A19" s="114" t="s">
        <v>121</v>
      </c>
      <c r="B19" s="115" t="s">
        <v>116</v>
      </c>
      <c r="C19" s="115"/>
      <c r="D19" s="126"/>
      <c r="E19" s="126"/>
      <c r="F19" s="127">
        <f t="shared" si="0"/>
        <v>0</v>
      </c>
    </row>
    <row r="20" spans="1:6" s="54" customFormat="1" ht="15" customHeight="1" x14ac:dyDescent="0.25">
      <c r="A20" s="114" t="s">
        <v>402</v>
      </c>
      <c r="B20" s="115" t="s">
        <v>401</v>
      </c>
      <c r="C20" s="115"/>
      <c r="D20" s="126"/>
      <c r="E20" s="126"/>
      <c r="F20" s="127">
        <f t="shared" si="0"/>
        <v>0</v>
      </c>
    </row>
    <row r="21" spans="1:6" s="54" customFormat="1" ht="15" customHeight="1" x14ac:dyDescent="0.25">
      <c r="A21" s="114" t="s">
        <v>404</v>
      </c>
      <c r="B21" s="115" t="s">
        <v>403</v>
      </c>
      <c r="C21" s="115"/>
      <c r="D21" s="126"/>
      <c r="E21" s="126"/>
      <c r="F21" s="127">
        <f t="shared" si="0"/>
        <v>0</v>
      </c>
    </row>
    <row r="22" spans="1:6" s="54" customFormat="1" ht="15" customHeight="1" x14ac:dyDescent="0.25">
      <c r="A22" s="114" t="s">
        <v>408</v>
      </c>
      <c r="B22" s="115" t="s">
        <v>407</v>
      </c>
      <c r="C22" s="115"/>
      <c r="D22" s="126"/>
      <c r="E22" s="126"/>
      <c r="F22" s="127">
        <f t="shared" si="0"/>
        <v>0</v>
      </c>
    </row>
    <row r="23" spans="1:6" s="54" customFormat="1" ht="15" customHeight="1" x14ac:dyDescent="0.25">
      <c r="A23" s="122" t="s">
        <v>410</v>
      </c>
      <c r="B23" s="106" t="s">
        <v>409</v>
      </c>
      <c r="C23" s="154">
        <f>SUM(C17:C22)</f>
        <v>300</v>
      </c>
      <c r="D23" s="154">
        <f>SUM(D17:D22)</f>
        <v>0</v>
      </c>
      <c r="E23" s="154">
        <f>SUM(E17:E22)</f>
        <v>300</v>
      </c>
      <c r="F23" s="127">
        <f t="shared" si="0"/>
        <v>300</v>
      </c>
    </row>
    <row r="24" spans="1:6" s="54" customFormat="1" ht="16.5" x14ac:dyDescent="0.25">
      <c r="A24" s="122" t="s">
        <v>416</v>
      </c>
      <c r="B24" s="105" t="s">
        <v>415</v>
      </c>
      <c r="C24" s="105"/>
      <c r="D24" s="154"/>
      <c r="E24" s="154"/>
      <c r="F24" s="127">
        <f t="shared" si="0"/>
        <v>0</v>
      </c>
    </row>
    <row r="25" spans="1:6" s="54" customFormat="1" ht="15" customHeight="1" x14ac:dyDescent="0.25">
      <c r="A25" s="122" t="s">
        <v>420</v>
      </c>
      <c r="B25" s="105" t="s">
        <v>419</v>
      </c>
      <c r="C25" s="105"/>
      <c r="D25" s="154"/>
      <c r="E25" s="154"/>
      <c r="F25" s="127">
        <f t="shared" si="0"/>
        <v>0</v>
      </c>
    </row>
    <row r="26" spans="1:6" s="54" customFormat="1" ht="15" customHeight="1" x14ac:dyDescent="0.25">
      <c r="A26" s="114" t="s">
        <v>422</v>
      </c>
      <c r="B26" s="115" t="s">
        <v>421</v>
      </c>
      <c r="C26" s="115"/>
      <c r="D26" s="154"/>
      <c r="E26" s="154"/>
      <c r="F26" s="127">
        <f t="shared" si="0"/>
        <v>0</v>
      </c>
    </row>
    <row r="27" spans="1:6" s="54" customFormat="1" ht="15" customHeight="1" x14ac:dyDescent="0.25">
      <c r="A27" s="114" t="s">
        <v>424</v>
      </c>
      <c r="B27" s="107" t="s">
        <v>423</v>
      </c>
      <c r="C27" s="107"/>
      <c r="D27" s="154"/>
      <c r="E27" s="154"/>
      <c r="F27" s="127">
        <f t="shared" si="0"/>
        <v>0</v>
      </c>
    </row>
    <row r="28" spans="1:6" s="54" customFormat="1" ht="15" customHeight="1" x14ac:dyDescent="0.25">
      <c r="A28" s="122" t="s">
        <v>426</v>
      </c>
      <c r="B28" s="105" t="s">
        <v>425</v>
      </c>
      <c r="C28" s="105"/>
      <c r="D28" s="154"/>
      <c r="E28" s="154"/>
      <c r="F28" s="127">
        <f t="shared" si="0"/>
        <v>0</v>
      </c>
    </row>
    <row r="29" spans="1:6" s="54" customFormat="1" ht="15" customHeight="1" x14ac:dyDescent="0.25">
      <c r="A29" s="128"/>
      <c r="B29" s="129" t="s">
        <v>98</v>
      </c>
      <c r="C29" s="130">
        <f>C11+C12+C16+C23+C25</f>
        <v>300</v>
      </c>
      <c r="D29" s="130">
        <f>D11+D12+D16+D23+D25</f>
        <v>0</v>
      </c>
      <c r="E29" s="130">
        <f>E11+E12+E16+E23+E25</f>
        <v>300</v>
      </c>
      <c r="F29" s="131">
        <f>D29+E29</f>
        <v>300</v>
      </c>
    </row>
    <row r="30" spans="1:6" ht="15" customHeight="1" x14ac:dyDescent="0.25">
      <c r="A30" s="128"/>
      <c r="B30" s="129" t="s">
        <v>99</v>
      </c>
      <c r="C30" s="130">
        <f>C24+C28</f>
        <v>0</v>
      </c>
      <c r="D30" s="130">
        <f>D24+D28</f>
        <v>0</v>
      </c>
      <c r="E30" s="130">
        <f>E24+E28</f>
        <v>0</v>
      </c>
      <c r="F30" s="131">
        <f t="shared" si="0"/>
        <v>0</v>
      </c>
    </row>
    <row r="31" spans="1:6" ht="15" customHeight="1" x14ac:dyDescent="0.25">
      <c r="A31" s="117" t="s">
        <v>428</v>
      </c>
      <c r="B31" s="112" t="s">
        <v>427</v>
      </c>
      <c r="C31" s="123">
        <f>SUM(C29:C30)</f>
        <v>300</v>
      </c>
      <c r="D31" s="123">
        <f>SUM(D29:D30)</f>
        <v>0</v>
      </c>
      <c r="E31" s="123">
        <f>SUM(E29:E30)</f>
        <v>300</v>
      </c>
      <c r="F31" s="124">
        <f t="shared" si="0"/>
        <v>300</v>
      </c>
    </row>
    <row r="32" spans="1:6" ht="15" customHeight="1" x14ac:dyDescent="0.25">
      <c r="A32" s="132"/>
      <c r="B32" s="133" t="s">
        <v>429</v>
      </c>
      <c r="C32" s="134">
        <f t="shared" ref="C32:E33" si="1">C29-C59</f>
        <v>-196697</v>
      </c>
      <c r="D32" s="134">
        <f t="shared" si="1"/>
        <v>-219278</v>
      </c>
      <c r="E32" s="134">
        <f t="shared" si="1"/>
        <v>0</v>
      </c>
      <c r="F32" s="135">
        <f t="shared" si="0"/>
        <v>-219278</v>
      </c>
    </row>
    <row r="33" spans="1:7" ht="15" customHeight="1" x14ac:dyDescent="0.25">
      <c r="A33" s="132"/>
      <c r="B33" s="133" t="s">
        <v>430</v>
      </c>
      <c r="C33" s="134">
        <f t="shared" si="1"/>
        <v>-338</v>
      </c>
      <c r="D33" s="134">
        <f t="shared" si="1"/>
        <v>-735</v>
      </c>
      <c r="E33" s="134">
        <f t="shared" si="1"/>
        <v>0</v>
      </c>
      <c r="F33" s="135">
        <f t="shared" si="0"/>
        <v>-735</v>
      </c>
    </row>
    <row r="34" spans="1:7" ht="15" customHeight="1" x14ac:dyDescent="0.25">
      <c r="A34" s="120" t="s">
        <v>434</v>
      </c>
      <c r="B34" s="107" t="s">
        <v>433</v>
      </c>
      <c r="C34" s="107"/>
      <c r="D34" s="126"/>
      <c r="E34" s="126"/>
      <c r="F34" s="127">
        <f t="shared" si="0"/>
        <v>0</v>
      </c>
    </row>
    <row r="35" spans="1:7" ht="15" customHeight="1" x14ac:dyDescent="0.25">
      <c r="A35" s="120" t="s">
        <v>436</v>
      </c>
      <c r="B35" s="115" t="s">
        <v>435</v>
      </c>
      <c r="C35" s="115"/>
      <c r="D35" s="126"/>
      <c r="E35" s="126"/>
      <c r="F35" s="127">
        <f t="shared" si="0"/>
        <v>0</v>
      </c>
    </row>
    <row r="36" spans="1:7" ht="26.25" customHeight="1" x14ac:dyDescent="0.25">
      <c r="A36" s="120" t="s">
        <v>436</v>
      </c>
      <c r="B36" s="115" t="s">
        <v>437</v>
      </c>
      <c r="C36" s="115"/>
      <c r="D36" s="126"/>
      <c r="E36" s="126"/>
      <c r="F36" s="127">
        <f t="shared" si="0"/>
        <v>0</v>
      </c>
    </row>
    <row r="37" spans="1:7" s="54" customFormat="1" ht="15" customHeight="1" x14ac:dyDescent="0.25">
      <c r="A37" s="120" t="s">
        <v>439</v>
      </c>
      <c r="B37" s="115" t="s">
        <v>438</v>
      </c>
      <c r="C37" s="115"/>
      <c r="D37" s="126"/>
      <c r="E37" s="126"/>
      <c r="F37" s="127">
        <f t="shared" si="0"/>
        <v>0</v>
      </c>
    </row>
    <row r="38" spans="1:7" ht="15" customHeight="1" x14ac:dyDescent="0.25">
      <c r="A38" s="136" t="s">
        <v>441</v>
      </c>
      <c r="B38" s="115" t="s">
        <v>440</v>
      </c>
      <c r="C38" s="126">
        <f>'3. Gesz költségvetés'!E33</f>
        <v>197035</v>
      </c>
      <c r="D38" s="126">
        <f>'3. Gesz költségvetés'!F33</f>
        <v>220013</v>
      </c>
      <c r="E38" s="126"/>
      <c r="F38" s="127">
        <f t="shared" si="0"/>
        <v>220013</v>
      </c>
    </row>
    <row r="39" spans="1:7" ht="15" customHeight="1" x14ac:dyDescent="0.25">
      <c r="A39" s="146" t="s">
        <v>449</v>
      </c>
      <c r="B39" s="145" t="s">
        <v>448</v>
      </c>
      <c r="C39" s="123">
        <f>SUM(C34:C38)</f>
        <v>197035</v>
      </c>
      <c r="D39" s="123">
        <f>SUM(D34:D38)</f>
        <v>220013</v>
      </c>
      <c r="E39" s="123">
        <f>SUM(E34:E38)</f>
        <v>0</v>
      </c>
      <c r="F39" s="124">
        <f t="shared" si="0"/>
        <v>220013</v>
      </c>
    </row>
    <row r="40" spans="1:7" ht="17.25" thickBot="1" x14ac:dyDescent="0.3">
      <c r="A40" s="158"/>
      <c r="B40" s="159" t="s">
        <v>362</v>
      </c>
      <c r="C40" s="164">
        <f>C31+C38</f>
        <v>197335</v>
      </c>
      <c r="D40" s="164">
        <f>D31+D38</f>
        <v>220013</v>
      </c>
      <c r="E40" s="164">
        <f>E31+E38</f>
        <v>300</v>
      </c>
      <c r="F40" s="165">
        <f t="shared" si="0"/>
        <v>220313</v>
      </c>
      <c r="G40" s="575"/>
    </row>
    <row r="41" spans="1:7" ht="15" customHeight="1" thickBot="1" x14ac:dyDescent="0.3">
      <c r="A41" s="979"/>
      <c r="B41" s="979"/>
      <c r="C41" s="979"/>
      <c r="D41" s="979"/>
      <c r="E41" s="979"/>
      <c r="F41" s="979"/>
    </row>
    <row r="42" spans="1:7" ht="18.75" x14ac:dyDescent="0.2">
      <c r="A42" s="1830" t="s">
        <v>370</v>
      </c>
      <c r="B42" s="1832" t="s">
        <v>788</v>
      </c>
      <c r="C42" s="1832" t="s">
        <v>1056</v>
      </c>
      <c r="D42" s="1834" t="s">
        <v>1057</v>
      </c>
      <c r="E42" s="1835"/>
      <c r="F42" s="1836"/>
    </row>
    <row r="43" spans="1:7" ht="49.5" x14ac:dyDescent="0.2">
      <c r="A43" s="1831"/>
      <c r="B43" s="1833"/>
      <c r="C43" s="1833"/>
      <c r="D43" s="1386" t="s">
        <v>159</v>
      </c>
      <c r="E43" s="1386" t="s">
        <v>160</v>
      </c>
      <c r="F43" s="1414" t="s">
        <v>371</v>
      </c>
    </row>
    <row r="44" spans="1:7" ht="15" customHeight="1" x14ac:dyDescent="0.25">
      <c r="A44" s="103" t="s">
        <v>294</v>
      </c>
      <c r="B44" s="104" t="s">
        <v>295</v>
      </c>
      <c r="C44" s="126">
        <f>'3. Gesz költségvetés'!E39</f>
        <v>141536</v>
      </c>
      <c r="D44" s="126">
        <f>'3. Gesz költségvetés'!F39</f>
        <v>163515</v>
      </c>
      <c r="E44" s="126"/>
      <c r="F44" s="127">
        <f>D44+E44</f>
        <v>163515</v>
      </c>
    </row>
    <row r="45" spans="1:7" ht="15" customHeight="1" x14ac:dyDescent="0.25">
      <c r="A45" s="103" t="s">
        <v>296</v>
      </c>
      <c r="B45" s="115" t="s">
        <v>297</v>
      </c>
      <c r="C45" s="126">
        <f>'3. Gesz költségvetés'!E40</f>
        <v>34137</v>
      </c>
      <c r="D45" s="126">
        <f>'3. Gesz költségvetés'!F40</f>
        <v>34023</v>
      </c>
      <c r="E45" s="126"/>
      <c r="F45" s="127">
        <f>D45+E45</f>
        <v>34023</v>
      </c>
    </row>
    <row r="46" spans="1:7" ht="15" customHeight="1" x14ac:dyDescent="0.25">
      <c r="A46" s="103" t="s">
        <v>298</v>
      </c>
      <c r="B46" s="115" t="s">
        <v>299</v>
      </c>
      <c r="C46" s="126">
        <v>21324</v>
      </c>
      <c r="D46" s="126">
        <f>'3. Gesz költségvetés'!F41-E46</f>
        <v>21740</v>
      </c>
      <c r="E46" s="126">
        <v>300</v>
      </c>
      <c r="F46" s="127">
        <f>D46+E46</f>
        <v>22040</v>
      </c>
    </row>
    <row r="47" spans="1:7" ht="15" customHeight="1" x14ac:dyDescent="0.25">
      <c r="A47" s="103" t="s">
        <v>300</v>
      </c>
      <c r="B47" s="107" t="s">
        <v>38</v>
      </c>
      <c r="C47" s="126"/>
      <c r="D47" s="126"/>
      <c r="E47" s="126"/>
      <c r="F47" s="127">
        <f t="shared" ref="F47:F58" si="2">D47+E47</f>
        <v>0</v>
      </c>
    </row>
    <row r="48" spans="1:7" ht="15" customHeight="1" x14ac:dyDescent="0.25">
      <c r="A48" s="103" t="s">
        <v>301</v>
      </c>
      <c r="B48" s="108" t="s">
        <v>302</v>
      </c>
      <c r="C48" s="126"/>
      <c r="D48" s="126"/>
      <c r="E48" s="126"/>
      <c r="F48" s="127">
        <f t="shared" si="2"/>
        <v>0</v>
      </c>
    </row>
    <row r="49" spans="1:6" ht="15" customHeight="1" x14ac:dyDescent="0.25">
      <c r="A49" s="103" t="s">
        <v>304</v>
      </c>
      <c r="B49" s="108" t="s">
        <v>303</v>
      </c>
      <c r="C49" s="126"/>
      <c r="D49" s="126"/>
      <c r="E49" s="126"/>
      <c r="F49" s="127">
        <f t="shared" si="2"/>
        <v>0</v>
      </c>
    </row>
    <row r="50" spans="1:6" ht="15" customHeight="1" x14ac:dyDescent="0.25">
      <c r="A50" s="103" t="s">
        <v>776</v>
      </c>
      <c r="B50" s="109" t="s">
        <v>305</v>
      </c>
      <c r="C50" s="126"/>
      <c r="D50" s="126"/>
      <c r="E50" s="126"/>
      <c r="F50" s="127">
        <f t="shared" si="2"/>
        <v>0</v>
      </c>
    </row>
    <row r="51" spans="1:6" ht="15" customHeight="1" x14ac:dyDescent="0.25">
      <c r="A51" s="103" t="s">
        <v>776</v>
      </c>
      <c r="B51" s="109" t="s">
        <v>163</v>
      </c>
      <c r="C51" s="126"/>
      <c r="D51" s="126"/>
      <c r="E51" s="126"/>
      <c r="F51" s="127">
        <f t="shared" si="2"/>
        <v>0</v>
      </c>
    </row>
    <row r="52" spans="1:6" ht="15" customHeight="1" x14ac:dyDescent="0.25">
      <c r="A52" s="103" t="s">
        <v>776</v>
      </c>
      <c r="B52" s="109" t="s">
        <v>306</v>
      </c>
      <c r="C52" s="126"/>
      <c r="D52" s="126"/>
      <c r="E52" s="126"/>
      <c r="F52" s="127">
        <f t="shared" si="2"/>
        <v>0</v>
      </c>
    </row>
    <row r="53" spans="1:6" ht="15" customHeight="1" x14ac:dyDescent="0.25">
      <c r="A53" s="103" t="s">
        <v>307</v>
      </c>
      <c r="B53" s="107" t="s">
        <v>308</v>
      </c>
      <c r="C53" s="126"/>
      <c r="D53" s="126"/>
      <c r="E53" s="126"/>
      <c r="F53" s="127">
        <f t="shared" si="2"/>
        <v>0</v>
      </c>
    </row>
    <row r="54" spans="1:6" ht="15" customHeight="1" x14ac:dyDescent="0.25">
      <c r="A54" s="103" t="s">
        <v>309</v>
      </c>
      <c r="B54" s="138" t="s">
        <v>452</v>
      </c>
      <c r="C54" s="126">
        <f>'3. Gesz költségvetés'!E48</f>
        <v>338</v>
      </c>
      <c r="D54" s="126">
        <f>'3. Gesz költségvetés'!F48</f>
        <v>735</v>
      </c>
      <c r="E54" s="126"/>
      <c r="F54" s="127">
        <f t="shared" si="2"/>
        <v>735</v>
      </c>
    </row>
    <row r="55" spans="1:6" ht="15" customHeight="1" x14ac:dyDescent="0.25">
      <c r="A55" s="103" t="s">
        <v>310</v>
      </c>
      <c r="B55" s="107" t="s">
        <v>311</v>
      </c>
      <c r="C55" s="126"/>
      <c r="D55" s="126"/>
      <c r="E55" s="126"/>
      <c r="F55" s="127">
        <f t="shared" si="2"/>
        <v>0</v>
      </c>
    </row>
    <row r="56" spans="1:6" ht="15" customHeight="1" x14ac:dyDescent="0.25">
      <c r="A56" s="103" t="s">
        <v>259</v>
      </c>
      <c r="B56" s="107" t="s">
        <v>162</v>
      </c>
      <c r="C56" s="126"/>
      <c r="D56" s="126"/>
      <c r="E56" s="126"/>
      <c r="F56" s="127">
        <f t="shared" si="2"/>
        <v>0</v>
      </c>
    </row>
    <row r="57" spans="1:6" ht="15" customHeight="1" x14ac:dyDescent="0.25">
      <c r="A57" s="103" t="s">
        <v>312</v>
      </c>
      <c r="B57" s="107" t="s">
        <v>313</v>
      </c>
      <c r="C57" s="126"/>
      <c r="D57" s="126"/>
      <c r="E57" s="126"/>
      <c r="F57" s="127">
        <f t="shared" si="2"/>
        <v>0</v>
      </c>
    </row>
    <row r="58" spans="1:6" ht="15" customHeight="1" x14ac:dyDescent="0.25">
      <c r="A58" s="103" t="s">
        <v>314</v>
      </c>
      <c r="B58" s="107" t="s">
        <v>315</v>
      </c>
      <c r="C58" s="126"/>
      <c r="D58" s="126"/>
      <c r="E58" s="126"/>
      <c r="F58" s="127">
        <f t="shared" si="2"/>
        <v>0</v>
      </c>
    </row>
    <row r="59" spans="1:6" ht="15" customHeight="1" x14ac:dyDescent="0.25">
      <c r="A59" s="147"/>
      <c r="B59" s="144" t="s">
        <v>330</v>
      </c>
      <c r="C59" s="156">
        <f>SUM(C44:C53)</f>
        <v>196997</v>
      </c>
      <c r="D59" s="156">
        <f>SUM(D44:D53)</f>
        <v>219278</v>
      </c>
      <c r="E59" s="156">
        <f>SUM(E44:E53)</f>
        <v>300</v>
      </c>
      <c r="F59" s="157">
        <f>SUM(F44:F53)</f>
        <v>219578</v>
      </c>
    </row>
    <row r="60" spans="1:6" ht="15" customHeight="1" x14ac:dyDescent="0.25">
      <c r="A60" s="147"/>
      <c r="B60" s="144" t="s">
        <v>331</v>
      </c>
      <c r="C60" s="156">
        <f>SUM(C54:C58)</f>
        <v>338</v>
      </c>
      <c r="D60" s="156">
        <f>SUM(D54:D58)</f>
        <v>735</v>
      </c>
      <c r="E60" s="156">
        <f>SUM(E54:E58)</f>
        <v>0</v>
      </c>
      <c r="F60" s="157">
        <f>SUM(F54:F58)</f>
        <v>735</v>
      </c>
    </row>
    <row r="61" spans="1:6" ht="15" customHeight="1" x14ac:dyDescent="0.25">
      <c r="A61" s="117" t="s">
        <v>316</v>
      </c>
      <c r="B61" s="112" t="s">
        <v>317</v>
      </c>
      <c r="C61" s="123">
        <f>SUM(C59:C60)</f>
        <v>197335</v>
      </c>
      <c r="D61" s="123">
        <f>SUM(D59:D60)</f>
        <v>220013</v>
      </c>
      <c r="E61" s="123">
        <f>SUM(E59:E60)</f>
        <v>300</v>
      </c>
      <c r="F61" s="124">
        <f>SUM(F59:F60)</f>
        <v>220313</v>
      </c>
    </row>
    <row r="62" spans="1:6" ht="15" customHeight="1" x14ac:dyDescent="0.2">
      <c r="A62" s="120" t="s">
        <v>318</v>
      </c>
      <c r="B62" s="107" t="s">
        <v>260</v>
      </c>
      <c r="C62" s="113"/>
      <c r="D62" s="113"/>
      <c r="E62" s="113"/>
      <c r="F62" s="140"/>
    </row>
    <row r="63" spans="1:6" ht="15" customHeight="1" x14ac:dyDescent="0.2">
      <c r="A63" s="120" t="s">
        <v>332</v>
      </c>
      <c r="B63" s="107" t="s">
        <v>333</v>
      </c>
      <c r="C63" s="141"/>
      <c r="D63" s="141"/>
      <c r="E63" s="141"/>
      <c r="F63" s="142"/>
    </row>
    <row r="64" spans="1:6" ht="15" customHeight="1" x14ac:dyDescent="0.25">
      <c r="A64" s="146" t="s">
        <v>328</v>
      </c>
      <c r="B64" s="145" t="s">
        <v>41</v>
      </c>
      <c r="C64" s="123">
        <f>SUM(C62:C63)</f>
        <v>0</v>
      </c>
      <c r="D64" s="123">
        <f>SUM(D62:D63)</f>
        <v>0</v>
      </c>
      <c r="E64" s="123">
        <f>SUM(E62:E63)</f>
        <v>0</v>
      </c>
      <c r="F64" s="124">
        <f>SUM(F62:F63)</f>
        <v>0</v>
      </c>
    </row>
    <row r="65" spans="1:6" ht="15" customHeight="1" thickBot="1" x14ac:dyDescent="0.3">
      <c r="A65" s="158"/>
      <c r="B65" s="159" t="s">
        <v>352</v>
      </c>
      <c r="C65" s="164">
        <f>C61+C64</f>
        <v>197335</v>
      </c>
      <c r="D65" s="164">
        <f>D61+D64</f>
        <v>220013</v>
      </c>
      <c r="E65" s="164">
        <f>E61+E64</f>
        <v>300</v>
      </c>
      <c r="F65" s="165">
        <f>F61+F64</f>
        <v>220313</v>
      </c>
    </row>
    <row r="67" spans="1:6" ht="15" customHeight="1" x14ac:dyDescent="0.2">
      <c r="F67" s="575"/>
    </row>
    <row r="68" spans="1:6" ht="15" customHeight="1" x14ac:dyDescent="0.2">
      <c r="F68" s="575"/>
    </row>
  </sheetData>
  <mergeCells count="11">
    <mergeCell ref="A42:A43"/>
    <mergeCell ref="B42:B43"/>
    <mergeCell ref="C42:C43"/>
    <mergeCell ref="D42:F42"/>
    <mergeCell ref="A1:F1"/>
    <mergeCell ref="A2:F2"/>
    <mergeCell ref="A4:F4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BreakPreview" zoomScaleSheetLayoutView="100" workbookViewId="0">
      <selection sqref="A1:G1"/>
    </sheetView>
  </sheetViews>
  <sheetFormatPr defaultRowHeight="15" customHeight="1" x14ac:dyDescent="0.2"/>
  <cols>
    <col min="1" max="1" width="9.85546875" style="97" bestFit="1" customWidth="1"/>
    <col min="2" max="2" width="73.85546875" style="97" customWidth="1"/>
    <col min="3" max="3" width="15.42578125" style="97" customWidth="1"/>
    <col min="4" max="4" width="12.5703125" style="97" customWidth="1"/>
    <col min="5" max="5" width="13" style="97" customWidth="1"/>
    <col min="6" max="6" width="16" style="97" customWidth="1"/>
    <col min="7" max="7" width="15.7109375" style="97" customWidth="1"/>
    <col min="8" max="16384" width="9.140625" style="97"/>
  </cols>
  <sheetData>
    <row r="1" spans="1:7" ht="18.75" x14ac:dyDescent="0.3">
      <c r="A1" s="1837" t="str">
        <f>'8.Német nemzetiségi Ovi'!A1:F1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  <c r="G1" s="1837"/>
    </row>
    <row r="2" spans="1:7" ht="18.75" x14ac:dyDescent="0.3">
      <c r="A2" s="1837" t="str">
        <f>'8.Német nemzetiségi Ovi'!A2:F2</f>
        <v>az Önkormányzat  2018. évi költségvetéséről</v>
      </c>
      <c r="B2" s="1837"/>
      <c r="C2" s="1837"/>
      <c r="D2" s="1837"/>
      <c r="E2" s="1837"/>
      <c r="F2" s="1837"/>
      <c r="G2" s="1837"/>
    </row>
    <row r="4" spans="1:7" ht="18.75" x14ac:dyDescent="0.3">
      <c r="A4" s="1838" t="str">
        <f>Tartalomjegyzék_2018!B16</f>
        <v>Művészetek Háza költségvetése kötelező, önként vállalt és vállakozási feladat szerinti bontásban</v>
      </c>
      <c r="B4" s="1838"/>
      <c r="C4" s="1838"/>
      <c r="D4" s="1838"/>
      <c r="E4" s="1838"/>
      <c r="F4" s="1838"/>
      <c r="G4" s="1838"/>
    </row>
    <row r="5" spans="1:7" ht="18.75" x14ac:dyDescent="0.3">
      <c r="G5" s="318" t="s">
        <v>18</v>
      </c>
    </row>
    <row r="6" spans="1:7" ht="15" customHeight="1" thickBot="1" x14ac:dyDescent="0.35">
      <c r="G6" s="318" t="s">
        <v>329</v>
      </c>
    </row>
    <row r="7" spans="1:7" ht="13.5" customHeight="1" x14ac:dyDescent="0.2">
      <c r="A7" s="1830" t="s">
        <v>370</v>
      </c>
      <c r="B7" s="1832" t="s">
        <v>793</v>
      </c>
      <c r="C7" s="1832" t="s">
        <v>1056</v>
      </c>
      <c r="D7" s="1842" t="s">
        <v>1057</v>
      </c>
      <c r="E7" s="1843"/>
      <c r="F7" s="1843"/>
      <c r="G7" s="1844"/>
    </row>
    <row r="8" spans="1:7" ht="49.5" x14ac:dyDescent="0.2">
      <c r="A8" s="1831"/>
      <c r="B8" s="1833"/>
      <c r="C8" s="1833"/>
      <c r="D8" s="1405" t="s">
        <v>159</v>
      </c>
      <c r="E8" s="1405" t="s">
        <v>160</v>
      </c>
      <c r="F8" s="1405" t="s">
        <v>766</v>
      </c>
      <c r="G8" s="1431" t="s">
        <v>371</v>
      </c>
    </row>
    <row r="9" spans="1:7" s="54" customFormat="1" ht="15" customHeight="1" x14ac:dyDescent="0.25">
      <c r="A9" s="114" t="s">
        <v>381</v>
      </c>
      <c r="B9" s="115" t="s">
        <v>380</v>
      </c>
      <c r="C9" s="104"/>
      <c r="D9" s="148"/>
      <c r="E9" s="148"/>
      <c r="F9" s="148"/>
      <c r="G9" s="149">
        <f>D9+E9+F9</f>
        <v>0</v>
      </c>
    </row>
    <row r="10" spans="1:7" s="54" customFormat="1" ht="15" customHeight="1" x14ac:dyDescent="0.25">
      <c r="A10" s="114" t="s">
        <v>383</v>
      </c>
      <c r="B10" s="115" t="s">
        <v>382</v>
      </c>
      <c r="C10" s="104"/>
      <c r="D10" s="148"/>
      <c r="E10" s="148"/>
      <c r="F10" s="148"/>
      <c r="G10" s="149">
        <f t="shared" ref="G10:G28" si="0">D10+E10+F10</f>
        <v>0</v>
      </c>
    </row>
    <row r="11" spans="1:7" s="54" customFormat="1" ht="15" customHeight="1" x14ac:dyDescent="0.25">
      <c r="A11" s="122" t="s">
        <v>385</v>
      </c>
      <c r="B11" s="105" t="s">
        <v>384</v>
      </c>
      <c r="C11" s="1418"/>
      <c r="D11" s="150"/>
      <c r="E11" s="150"/>
      <c r="F11" s="150"/>
      <c r="G11" s="149">
        <f t="shared" si="0"/>
        <v>0</v>
      </c>
    </row>
    <row r="12" spans="1:7" ht="15" customHeight="1" x14ac:dyDescent="0.25">
      <c r="A12" s="122" t="s">
        <v>389</v>
      </c>
      <c r="B12" s="105" t="s">
        <v>388</v>
      </c>
      <c r="C12" s="1418"/>
      <c r="D12" s="150"/>
      <c r="E12" s="150"/>
      <c r="F12" s="150"/>
      <c r="G12" s="149">
        <f t="shared" si="0"/>
        <v>0</v>
      </c>
    </row>
    <row r="13" spans="1:7" ht="15" customHeight="1" x14ac:dyDescent="0.25">
      <c r="A13" s="576" t="s">
        <v>153</v>
      </c>
      <c r="B13" s="577" t="s">
        <v>165</v>
      </c>
      <c r="C13" s="1419"/>
      <c r="D13" s="150"/>
      <c r="E13" s="150"/>
      <c r="F13" s="150"/>
      <c r="G13" s="149">
        <f t="shared" si="0"/>
        <v>0</v>
      </c>
    </row>
    <row r="14" spans="1:7" s="54" customFormat="1" ht="15" customHeight="1" x14ac:dyDescent="0.25">
      <c r="A14" s="114" t="s">
        <v>111</v>
      </c>
      <c r="B14" s="115" t="s">
        <v>164</v>
      </c>
      <c r="C14" s="104"/>
      <c r="D14" s="148"/>
      <c r="E14" s="148"/>
      <c r="F14" s="148"/>
      <c r="G14" s="149">
        <f t="shared" si="0"/>
        <v>0</v>
      </c>
    </row>
    <row r="15" spans="1:7" s="54" customFormat="1" ht="15" customHeight="1" x14ac:dyDescent="0.25">
      <c r="A15" s="114" t="s">
        <v>392</v>
      </c>
      <c r="B15" s="115" t="s">
        <v>161</v>
      </c>
      <c r="C15" s="104"/>
      <c r="D15" s="148"/>
      <c r="E15" s="148"/>
      <c r="F15" s="148"/>
      <c r="G15" s="149">
        <f t="shared" si="0"/>
        <v>0</v>
      </c>
    </row>
    <row r="16" spans="1:7" s="54" customFormat="1" ht="15" customHeight="1" x14ac:dyDescent="0.25">
      <c r="A16" s="122" t="s">
        <v>394</v>
      </c>
      <c r="B16" s="105" t="s">
        <v>393</v>
      </c>
      <c r="C16" s="1418"/>
      <c r="D16" s="150"/>
      <c r="E16" s="150"/>
      <c r="F16" s="150"/>
      <c r="G16" s="149">
        <f t="shared" si="0"/>
        <v>0</v>
      </c>
    </row>
    <row r="17" spans="1:7" s="54" customFormat="1" ht="15" customHeight="1" x14ac:dyDescent="0.25">
      <c r="A17" s="114" t="s">
        <v>123</v>
      </c>
      <c r="B17" s="107" t="s">
        <v>395</v>
      </c>
      <c r="C17" s="1418">
        <v>5374</v>
      </c>
      <c r="D17" s="150"/>
      <c r="E17" s="150"/>
      <c r="F17" s="148">
        <f>'3. Gesz költségvetés'!H13</f>
        <v>5442</v>
      </c>
      <c r="G17" s="149">
        <f t="shared" si="0"/>
        <v>5442</v>
      </c>
    </row>
    <row r="18" spans="1:7" s="54" customFormat="1" ht="15" customHeight="1" x14ac:dyDescent="0.25">
      <c r="A18" s="114" t="s">
        <v>122</v>
      </c>
      <c r="B18" s="115" t="s">
        <v>125</v>
      </c>
      <c r="C18" s="104">
        <v>19100</v>
      </c>
      <c r="D18" s="148">
        <f>'3. Gesz költségvetés'!H21</f>
        <v>25100</v>
      </c>
      <c r="E18" s="148"/>
      <c r="F18" s="148"/>
      <c r="G18" s="149">
        <f t="shared" si="0"/>
        <v>25100</v>
      </c>
    </row>
    <row r="19" spans="1:7" s="54" customFormat="1" ht="15" customHeight="1" x14ac:dyDescent="0.25">
      <c r="A19" s="114" t="s">
        <v>121</v>
      </c>
      <c r="B19" s="115" t="s">
        <v>116</v>
      </c>
      <c r="C19" s="104"/>
      <c r="D19" s="148"/>
      <c r="E19" s="148"/>
      <c r="F19" s="148"/>
      <c r="G19" s="149">
        <f t="shared" si="0"/>
        <v>0</v>
      </c>
    </row>
    <row r="20" spans="1:7" s="54" customFormat="1" ht="15" customHeight="1" x14ac:dyDescent="0.25">
      <c r="A20" s="114" t="s">
        <v>402</v>
      </c>
      <c r="B20" s="115" t="s">
        <v>401</v>
      </c>
      <c r="C20" s="104"/>
      <c r="D20" s="148"/>
      <c r="E20" s="148"/>
      <c r="F20" s="148"/>
      <c r="G20" s="149">
        <f t="shared" si="0"/>
        <v>0</v>
      </c>
    </row>
    <row r="21" spans="1:7" s="54" customFormat="1" ht="15" customHeight="1" x14ac:dyDescent="0.25">
      <c r="A21" s="114" t="s">
        <v>404</v>
      </c>
      <c r="B21" s="115" t="s">
        <v>403</v>
      </c>
      <c r="C21" s="104"/>
      <c r="D21" s="148"/>
      <c r="E21" s="148"/>
      <c r="F21" s="148"/>
      <c r="G21" s="149">
        <f t="shared" si="0"/>
        <v>0</v>
      </c>
    </row>
    <row r="22" spans="1:7" s="54" customFormat="1" ht="15" customHeight="1" x14ac:dyDescent="0.25">
      <c r="A22" s="114" t="s">
        <v>408</v>
      </c>
      <c r="B22" s="115" t="s">
        <v>407</v>
      </c>
      <c r="C22" s="104"/>
      <c r="D22" s="148"/>
      <c r="E22" s="148"/>
      <c r="F22" s="148"/>
      <c r="G22" s="149">
        <f t="shared" si="0"/>
        <v>0</v>
      </c>
    </row>
    <row r="23" spans="1:7" s="54" customFormat="1" ht="15" customHeight="1" x14ac:dyDescent="0.25">
      <c r="A23" s="122" t="s">
        <v>410</v>
      </c>
      <c r="B23" s="106" t="s">
        <v>409</v>
      </c>
      <c r="C23" s="1420">
        <f>SUM(C17:C22)</f>
        <v>24474</v>
      </c>
      <c r="D23" s="150">
        <f>SUM(D17:D22)</f>
        <v>25100</v>
      </c>
      <c r="E23" s="150">
        <f t="shared" ref="E23" si="1">SUM(E17:E22)</f>
        <v>0</v>
      </c>
      <c r="F23" s="150">
        <f>SUM(F17:F22)</f>
        <v>5442</v>
      </c>
      <c r="G23" s="149">
        <f t="shared" si="0"/>
        <v>30542</v>
      </c>
    </row>
    <row r="24" spans="1:7" s="54" customFormat="1" ht="16.5" x14ac:dyDescent="0.25">
      <c r="A24" s="122" t="s">
        <v>416</v>
      </c>
      <c r="B24" s="105" t="s">
        <v>415</v>
      </c>
      <c r="C24" s="1418"/>
      <c r="D24" s="150"/>
      <c r="E24" s="150"/>
      <c r="F24" s="150"/>
      <c r="G24" s="149">
        <f t="shared" si="0"/>
        <v>0</v>
      </c>
    </row>
    <row r="25" spans="1:7" s="54" customFormat="1" ht="15" customHeight="1" x14ac:dyDescent="0.25">
      <c r="A25" s="122" t="s">
        <v>420</v>
      </c>
      <c r="B25" s="105" t="s">
        <v>419</v>
      </c>
      <c r="C25" s="1418"/>
      <c r="D25" s="150"/>
      <c r="E25" s="150"/>
      <c r="F25" s="150"/>
      <c r="G25" s="149">
        <f t="shared" si="0"/>
        <v>0</v>
      </c>
    </row>
    <row r="26" spans="1:7" s="54" customFormat="1" ht="15" customHeight="1" x14ac:dyDescent="0.25">
      <c r="A26" s="114" t="s">
        <v>422</v>
      </c>
      <c r="B26" s="115" t="s">
        <v>421</v>
      </c>
      <c r="C26" s="104"/>
      <c r="D26" s="150"/>
      <c r="E26" s="150"/>
      <c r="F26" s="150"/>
      <c r="G26" s="149">
        <f t="shared" si="0"/>
        <v>0</v>
      </c>
    </row>
    <row r="27" spans="1:7" s="54" customFormat="1" ht="15" customHeight="1" x14ac:dyDescent="0.25">
      <c r="A27" s="114" t="s">
        <v>424</v>
      </c>
      <c r="B27" s="107" t="s">
        <v>423</v>
      </c>
      <c r="C27" s="108"/>
      <c r="D27" s="150"/>
      <c r="E27" s="150"/>
      <c r="F27" s="150"/>
      <c r="G27" s="149">
        <f t="shared" si="0"/>
        <v>0</v>
      </c>
    </row>
    <row r="28" spans="1:7" s="54" customFormat="1" ht="15" customHeight="1" x14ac:dyDescent="0.25">
      <c r="A28" s="122" t="s">
        <v>426</v>
      </c>
      <c r="B28" s="105" t="s">
        <v>425</v>
      </c>
      <c r="C28" s="1418"/>
      <c r="D28" s="150"/>
      <c r="E28" s="150"/>
      <c r="F28" s="150"/>
      <c r="G28" s="149">
        <f t="shared" si="0"/>
        <v>0</v>
      </c>
    </row>
    <row r="29" spans="1:7" s="54" customFormat="1" ht="15" customHeight="1" x14ac:dyDescent="0.25">
      <c r="A29" s="128"/>
      <c r="B29" s="129" t="s">
        <v>98</v>
      </c>
      <c r="C29" s="1421">
        <f>C11+C12+C16+C23+C25</f>
        <v>24474</v>
      </c>
      <c r="D29" s="160">
        <f>D11+D12+D16+D23+D25</f>
        <v>25100</v>
      </c>
      <c r="E29" s="160">
        <f>E11+E12+E16+E23+E25</f>
        <v>0</v>
      </c>
      <c r="F29" s="160">
        <f>F11+F12+F16+F23+F25</f>
        <v>5442</v>
      </c>
      <c r="G29" s="980">
        <f>G11+G12+G16+G23+G25</f>
        <v>30542</v>
      </c>
    </row>
    <row r="30" spans="1:7" ht="15" customHeight="1" x14ac:dyDescent="0.25">
      <c r="A30" s="128"/>
      <c r="B30" s="129" t="s">
        <v>99</v>
      </c>
      <c r="C30" s="1421">
        <f>C24+C28</f>
        <v>0</v>
      </c>
      <c r="D30" s="160">
        <f>D24+D28</f>
        <v>0</v>
      </c>
      <c r="E30" s="160">
        <f>E24+E28</f>
        <v>0</v>
      </c>
      <c r="F30" s="160">
        <f>F24+F28</f>
        <v>0</v>
      </c>
      <c r="G30" s="980">
        <f>G24+G28</f>
        <v>0</v>
      </c>
    </row>
    <row r="31" spans="1:7" ht="15" customHeight="1" x14ac:dyDescent="0.25">
      <c r="A31" s="117" t="s">
        <v>428</v>
      </c>
      <c r="B31" s="112" t="s">
        <v>427</v>
      </c>
      <c r="C31" s="1422">
        <f>SUM(C29:C30)</f>
        <v>24474</v>
      </c>
      <c r="D31" s="118">
        <f>SUM(D29:D30)</f>
        <v>25100</v>
      </c>
      <c r="E31" s="118">
        <f>SUM(E29:E30)</f>
        <v>0</v>
      </c>
      <c r="F31" s="118">
        <f>SUM(F29:F30)</f>
        <v>5442</v>
      </c>
      <c r="G31" s="119">
        <f>SUM(G29:G30)</f>
        <v>30542</v>
      </c>
    </row>
    <row r="32" spans="1:7" ht="15" customHeight="1" x14ac:dyDescent="0.25">
      <c r="A32" s="132"/>
      <c r="B32" s="133" t="s">
        <v>429</v>
      </c>
      <c r="C32" s="1423">
        <f t="shared" ref="C32:G33" si="2">C29-C59</f>
        <v>-67988</v>
      </c>
      <c r="D32" s="161">
        <f t="shared" si="2"/>
        <v>-72749</v>
      </c>
      <c r="E32" s="161">
        <f t="shared" si="2"/>
        <v>0</v>
      </c>
      <c r="F32" s="161">
        <f t="shared" si="2"/>
        <v>0</v>
      </c>
      <c r="G32" s="981">
        <f t="shared" si="2"/>
        <v>-72749</v>
      </c>
    </row>
    <row r="33" spans="1:8" ht="15" customHeight="1" x14ac:dyDescent="0.25">
      <c r="A33" s="132"/>
      <c r="B33" s="133" t="s">
        <v>430</v>
      </c>
      <c r="C33" s="1423">
        <f t="shared" si="2"/>
        <v>-1099</v>
      </c>
      <c r="D33" s="161">
        <f t="shared" si="2"/>
        <v>-917</v>
      </c>
      <c r="E33" s="161">
        <f t="shared" si="2"/>
        <v>0</v>
      </c>
      <c r="F33" s="161">
        <f t="shared" si="2"/>
        <v>0</v>
      </c>
      <c r="G33" s="981">
        <f t="shared" si="2"/>
        <v>-917</v>
      </c>
    </row>
    <row r="34" spans="1:8" ht="15" customHeight="1" x14ac:dyDescent="0.25">
      <c r="A34" s="120" t="s">
        <v>434</v>
      </c>
      <c r="B34" s="107" t="s">
        <v>433</v>
      </c>
      <c r="C34" s="108"/>
      <c r="D34" s="148"/>
      <c r="E34" s="148"/>
      <c r="F34" s="148"/>
      <c r="G34" s="149">
        <f t="shared" ref="G34:G37" si="3">D34+E34+F34</f>
        <v>0</v>
      </c>
    </row>
    <row r="35" spans="1:8" ht="15" customHeight="1" x14ac:dyDescent="0.25">
      <c r="A35" s="120" t="s">
        <v>436</v>
      </c>
      <c r="B35" s="115" t="s">
        <v>435</v>
      </c>
      <c r="C35" s="104"/>
      <c r="D35" s="148"/>
      <c r="E35" s="148"/>
      <c r="F35" s="148"/>
      <c r="G35" s="149">
        <f t="shared" si="3"/>
        <v>0</v>
      </c>
    </row>
    <row r="36" spans="1:8" ht="35.25" customHeight="1" x14ac:dyDescent="0.25">
      <c r="A36" s="120" t="s">
        <v>436</v>
      </c>
      <c r="B36" s="115" t="s">
        <v>437</v>
      </c>
      <c r="C36" s="104"/>
      <c r="D36" s="148"/>
      <c r="E36" s="148"/>
      <c r="F36" s="148"/>
      <c r="G36" s="149">
        <f t="shared" si="3"/>
        <v>0</v>
      </c>
    </row>
    <row r="37" spans="1:8" s="54" customFormat="1" ht="15" customHeight="1" x14ac:dyDescent="0.25">
      <c r="A37" s="120" t="s">
        <v>439</v>
      </c>
      <c r="B37" s="115" t="s">
        <v>438</v>
      </c>
      <c r="C37" s="104"/>
      <c r="D37" s="148"/>
      <c r="E37" s="148"/>
      <c r="F37" s="148"/>
      <c r="G37" s="149">
        <f t="shared" si="3"/>
        <v>0</v>
      </c>
    </row>
    <row r="38" spans="1:8" ht="15" customHeight="1" x14ac:dyDescent="0.25">
      <c r="A38" s="136" t="s">
        <v>441</v>
      </c>
      <c r="B38" s="115" t="s">
        <v>440</v>
      </c>
      <c r="C38" s="104">
        <v>69087</v>
      </c>
      <c r="D38" s="148">
        <f>'3. Gesz költségvetés'!H33</f>
        <v>73666</v>
      </c>
      <c r="E38" s="148"/>
      <c r="F38" s="148"/>
      <c r="G38" s="149">
        <f>D38+E38+F38</f>
        <v>73666</v>
      </c>
    </row>
    <row r="39" spans="1:8" ht="15" customHeight="1" x14ac:dyDescent="0.25">
      <c r="A39" s="146" t="s">
        <v>449</v>
      </c>
      <c r="B39" s="145" t="s">
        <v>448</v>
      </c>
      <c r="C39" s="1422">
        <f>SUM(C34:C38)</f>
        <v>69087</v>
      </c>
      <c r="D39" s="118">
        <f>SUM(D34:D38)</f>
        <v>73666</v>
      </c>
      <c r="E39" s="118">
        <f>SUM(E34:E38)</f>
        <v>0</v>
      </c>
      <c r="F39" s="118">
        <f>SUM(F34:F38)</f>
        <v>0</v>
      </c>
      <c r="G39" s="119">
        <f t="shared" ref="G39" si="4">D39+E39</f>
        <v>73666</v>
      </c>
    </row>
    <row r="40" spans="1:8" ht="17.25" thickBot="1" x14ac:dyDescent="0.3">
      <c r="A40" s="158"/>
      <c r="B40" s="159" t="s">
        <v>362</v>
      </c>
      <c r="C40" s="1432">
        <f>C31+C38</f>
        <v>93561</v>
      </c>
      <c r="D40" s="982">
        <f>D31+D38</f>
        <v>98766</v>
      </c>
      <c r="E40" s="982">
        <f t="shared" ref="E40:F40" si="5">E31+E38</f>
        <v>0</v>
      </c>
      <c r="F40" s="982">
        <f t="shared" si="5"/>
        <v>5442</v>
      </c>
      <c r="G40" s="983">
        <f>D40+E40+F40</f>
        <v>104208</v>
      </c>
      <c r="H40" s="575"/>
    </row>
    <row r="41" spans="1:8" ht="15" customHeight="1" thickBot="1" x14ac:dyDescent="0.3">
      <c r="A41" s="979"/>
      <c r="B41" s="979"/>
      <c r="C41" s="979"/>
      <c r="D41" s="984"/>
      <c r="E41" s="984"/>
      <c r="F41" s="984"/>
      <c r="G41" s="984"/>
    </row>
    <row r="42" spans="1:8" ht="18.75" x14ac:dyDescent="0.2">
      <c r="A42" s="1830" t="s">
        <v>370</v>
      </c>
      <c r="B42" s="1832" t="s">
        <v>788</v>
      </c>
      <c r="C42" s="1832" t="s">
        <v>1056</v>
      </c>
      <c r="D42" s="1842" t="s">
        <v>1057</v>
      </c>
      <c r="E42" s="1843"/>
      <c r="F42" s="1843"/>
      <c r="G42" s="1844"/>
    </row>
    <row r="43" spans="1:8" ht="49.5" x14ac:dyDescent="0.2">
      <c r="A43" s="1831"/>
      <c r="B43" s="1833"/>
      <c r="C43" s="1833"/>
      <c r="D43" s="1405" t="s">
        <v>159</v>
      </c>
      <c r="E43" s="1405" t="s">
        <v>160</v>
      </c>
      <c r="F43" s="1405" t="s">
        <v>766</v>
      </c>
      <c r="G43" s="1431" t="s">
        <v>371</v>
      </c>
    </row>
    <row r="44" spans="1:8" ht="15" customHeight="1" x14ac:dyDescent="0.25">
      <c r="A44" s="103" t="s">
        <v>294</v>
      </c>
      <c r="B44" s="104" t="s">
        <v>295</v>
      </c>
      <c r="C44" s="1416">
        <v>36050</v>
      </c>
      <c r="D44" s="148">
        <f>'3. Gesz költségvetés'!H39-F44</f>
        <v>39195</v>
      </c>
      <c r="E44" s="148"/>
      <c r="F44" s="148">
        <v>1200</v>
      </c>
      <c r="G44" s="149">
        <f>D44+E44+F44</f>
        <v>40395</v>
      </c>
    </row>
    <row r="45" spans="1:8" ht="15" customHeight="1" x14ac:dyDescent="0.25">
      <c r="A45" s="103" t="s">
        <v>296</v>
      </c>
      <c r="B45" s="115" t="s">
        <v>297</v>
      </c>
      <c r="C45" s="1416">
        <v>9224</v>
      </c>
      <c r="D45" s="148">
        <f>'3. Gesz költségvetés'!H40-F45</f>
        <v>7874</v>
      </c>
      <c r="E45" s="148"/>
      <c r="F45" s="148">
        <v>489</v>
      </c>
      <c r="G45" s="149">
        <f t="shared" ref="G45:G58" si="6">D45+E45+F45</f>
        <v>8363</v>
      </c>
    </row>
    <row r="46" spans="1:8" ht="15" customHeight="1" x14ac:dyDescent="0.25">
      <c r="A46" s="103" t="s">
        <v>298</v>
      </c>
      <c r="B46" s="115" t="s">
        <v>299</v>
      </c>
      <c r="C46" s="1416">
        <v>47188</v>
      </c>
      <c r="D46" s="148">
        <f>'3. Gesz költségvetés'!H41-F46</f>
        <v>50780</v>
      </c>
      <c r="E46" s="148"/>
      <c r="F46" s="148">
        <v>3753</v>
      </c>
      <c r="G46" s="149">
        <f t="shared" si="6"/>
        <v>54533</v>
      </c>
    </row>
    <row r="47" spans="1:8" ht="15" customHeight="1" x14ac:dyDescent="0.25">
      <c r="A47" s="103" t="s">
        <v>300</v>
      </c>
      <c r="B47" s="107" t="s">
        <v>38</v>
      </c>
      <c r="C47" s="1417"/>
      <c r="D47" s="148"/>
      <c r="E47" s="148"/>
      <c r="F47" s="148"/>
      <c r="G47" s="149">
        <f t="shared" si="6"/>
        <v>0</v>
      </c>
    </row>
    <row r="48" spans="1:8" ht="15" customHeight="1" x14ac:dyDescent="0.25">
      <c r="A48" s="103" t="s">
        <v>301</v>
      </c>
      <c r="B48" s="108" t="s">
        <v>302</v>
      </c>
      <c r="C48" s="1417"/>
      <c r="D48" s="148"/>
      <c r="E48" s="148"/>
      <c r="F48" s="148"/>
      <c r="G48" s="149">
        <f t="shared" si="6"/>
        <v>0</v>
      </c>
    </row>
    <row r="49" spans="1:7" ht="15" customHeight="1" x14ac:dyDescent="0.25">
      <c r="A49" s="103" t="s">
        <v>304</v>
      </c>
      <c r="B49" s="108" t="s">
        <v>303</v>
      </c>
      <c r="C49" s="1417"/>
      <c r="D49" s="148"/>
      <c r="E49" s="148"/>
      <c r="F49" s="148"/>
      <c r="G49" s="149">
        <f t="shared" si="6"/>
        <v>0</v>
      </c>
    </row>
    <row r="50" spans="1:7" ht="15" customHeight="1" x14ac:dyDescent="0.25">
      <c r="A50" s="103" t="s">
        <v>776</v>
      </c>
      <c r="B50" s="109" t="s">
        <v>305</v>
      </c>
      <c r="C50" s="1424"/>
      <c r="D50" s="148"/>
      <c r="E50" s="148"/>
      <c r="F50" s="148"/>
      <c r="G50" s="149">
        <f t="shared" si="6"/>
        <v>0</v>
      </c>
    </row>
    <row r="51" spans="1:7" ht="15" customHeight="1" x14ac:dyDescent="0.25">
      <c r="A51" s="103" t="s">
        <v>776</v>
      </c>
      <c r="B51" s="109" t="s">
        <v>163</v>
      </c>
      <c r="C51" s="1424"/>
      <c r="D51" s="148"/>
      <c r="E51" s="148"/>
      <c r="F51" s="148"/>
      <c r="G51" s="149">
        <f t="shared" si="6"/>
        <v>0</v>
      </c>
    </row>
    <row r="52" spans="1:7" ht="15" customHeight="1" x14ac:dyDescent="0.25">
      <c r="A52" s="103" t="s">
        <v>776</v>
      </c>
      <c r="B52" s="109" t="s">
        <v>306</v>
      </c>
      <c r="C52" s="1424"/>
      <c r="D52" s="148"/>
      <c r="E52" s="148"/>
      <c r="F52" s="148"/>
      <c r="G52" s="149">
        <f t="shared" si="6"/>
        <v>0</v>
      </c>
    </row>
    <row r="53" spans="1:7" ht="15" customHeight="1" x14ac:dyDescent="0.25">
      <c r="A53" s="103" t="s">
        <v>307</v>
      </c>
      <c r="B53" s="107" t="s">
        <v>308</v>
      </c>
      <c r="C53" s="1417"/>
      <c r="D53" s="148"/>
      <c r="E53" s="148"/>
      <c r="F53" s="148"/>
      <c r="G53" s="149">
        <f t="shared" si="6"/>
        <v>0</v>
      </c>
    </row>
    <row r="54" spans="1:7" ht="15" customHeight="1" x14ac:dyDescent="0.25">
      <c r="A54" s="103" t="s">
        <v>309</v>
      </c>
      <c r="B54" s="138" t="s">
        <v>452</v>
      </c>
      <c r="C54" s="1425">
        <v>1099</v>
      </c>
      <c r="D54" s="148">
        <f>'3. Gesz költségvetés'!H48</f>
        <v>917</v>
      </c>
      <c r="E54" s="148"/>
      <c r="F54" s="148"/>
      <c r="G54" s="149">
        <f t="shared" si="6"/>
        <v>917</v>
      </c>
    </row>
    <row r="55" spans="1:7" ht="15" customHeight="1" x14ac:dyDescent="0.25">
      <c r="A55" s="103" t="s">
        <v>310</v>
      </c>
      <c r="B55" s="107" t="s">
        <v>311</v>
      </c>
      <c r="C55" s="1417"/>
      <c r="D55" s="148"/>
      <c r="E55" s="148"/>
      <c r="F55" s="148"/>
      <c r="G55" s="149">
        <f t="shared" si="6"/>
        <v>0</v>
      </c>
    </row>
    <row r="56" spans="1:7" ht="15" customHeight="1" x14ac:dyDescent="0.25">
      <c r="A56" s="103" t="s">
        <v>259</v>
      </c>
      <c r="B56" s="107" t="s">
        <v>162</v>
      </c>
      <c r="C56" s="1417"/>
      <c r="D56" s="148"/>
      <c r="E56" s="148"/>
      <c r="F56" s="148"/>
      <c r="G56" s="149">
        <f t="shared" si="6"/>
        <v>0</v>
      </c>
    </row>
    <row r="57" spans="1:7" ht="15" customHeight="1" x14ac:dyDescent="0.25">
      <c r="A57" s="103" t="s">
        <v>312</v>
      </c>
      <c r="B57" s="107" t="s">
        <v>313</v>
      </c>
      <c r="C57" s="1417"/>
      <c r="D57" s="148"/>
      <c r="E57" s="148"/>
      <c r="F57" s="148"/>
      <c r="G57" s="149">
        <f t="shared" si="6"/>
        <v>0</v>
      </c>
    </row>
    <row r="58" spans="1:7" ht="15" customHeight="1" x14ac:dyDescent="0.25">
      <c r="A58" s="103" t="s">
        <v>314</v>
      </c>
      <c r="B58" s="107" t="s">
        <v>315</v>
      </c>
      <c r="C58" s="1417"/>
      <c r="D58" s="148"/>
      <c r="E58" s="148"/>
      <c r="F58" s="148"/>
      <c r="G58" s="149">
        <f t="shared" si="6"/>
        <v>0</v>
      </c>
    </row>
    <row r="59" spans="1:7" ht="15" customHeight="1" x14ac:dyDescent="0.25">
      <c r="A59" s="147"/>
      <c r="B59" s="144" t="s">
        <v>330</v>
      </c>
      <c r="C59" s="156">
        <f>SUM(C44:C53)</f>
        <v>92462</v>
      </c>
      <c r="D59" s="162">
        <f>SUM(D44:D53)</f>
        <v>97849</v>
      </c>
      <c r="E59" s="162">
        <f>SUM(E44:E53)</f>
        <v>0</v>
      </c>
      <c r="F59" s="162">
        <f>SUM(F44:F53)</f>
        <v>5442</v>
      </c>
      <c r="G59" s="163">
        <f>SUM(G44:G53)</f>
        <v>103291</v>
      </c>
    </row>
    <row r="60" spans="1:7" ht="15" customHeight="1" x14ac:dyDescent="0.25">
      <c r="A60" s="147"/>
      <c r="B60" s="144" t="s">
        <v>331</v>
      </c>
      <c r="C60" s="156">
        <f>SUM(C54:C58)</f>
        <v>1099</v>
      </c>
      <c r="D60" s="162">
        <f>SUM(D54:D58)</f>
        <v>917</v>
      </c>
      <c r="E60" s="162">
        <f>SUM(E54:E58)</f>
        <v>0</v>
      </c>
      <c r="F60" s="162">
        <f>SUM(F54:F58)</f>
        <v>0</v>
      </c>
      <c r="G60" s="163">
        <f>SUM(G54:G58)</f>
        <v>917</v>
      </c>
    </row>
    <row r="61" spans="1:7" ht="15" customHeight="1" x14ac:dyDescent="0.25">
      <c r="A61" s="117" t="s">
        <v>316</v>
      </c>
      <c r="B61" s="112" t="s">
        <v>317</v>
      </c>
      <c r="C61" s="123">
        <f>SUM(C59:C60)</f>
        <v>93561</v>
      </c>
      <c r="D61" s="118">
        <f>SUM(D59:D60)</f>
        <v>98766</v>
      </c>
      <c r="E61" s="118">
        <f>SUM(E59:E60)</f>
        <v>0</v>
      </c>
      <c r="F61" s="118">
        <f>SUM(F59:F60)</f>
        <v>5442</v>
      </c>
      <c r="G61" s="119">
        <f>SUM(G59:G60)</f>
        <v>104208</v>
      </c>
    </row>
    <row r="62" spans="1:7" ht="15" customHeight="1" x14ac:dyDescent="0.2">
      <c r="A62" s="120" t="s">
        <v>318</v>
      </c>
      <c r="B62" s="107" t="s">
        <v>260</v>
      </c>
      <c r="C62" s="1417"/>
      <c r="D62" s="116"/>
      <c r="E62" s="116"/>
      <c r="F62" s="116"/>
      <c r="G62" s="151"/>
    </row>
    <row r="63" spans="1:7" ht="15" customHeight="1" x14ac:dyDescent="0.2">
      <c r="A63" s="120" t="s">
        <v>332</v>
      </c>
      <c r="B63" s="107" t="s">
        <v>333</v>
      </c>
      <c r="C63" s="1417"/>
      <c r="D63" s="152"/>
      <c r="E63" s="152"/>
      <c r="F63" s="152"/>
      <c r="G63" s="153"/>
    </row>
    <row r="64" spans="1:7" ht="15" customHeight="1" x14ac:dyDescent="0.25">
      <c r="A64" s="146" t="s">
        <v>328</v>
      </c>
      <c r="B64" s="145" t="s">
        <v>41</v>
      </c>
      <c r="C64" s="123">
        <f>SUM(C62:C63)</f>
        <v>0</v>
      </c>
      <c r="D64" s="118">
        <f>SUM(D62:D63)</f>
        <v>0</v>
      </c>
      <c r="E64" s="118">
        <f>SUM(E62:E63)</f>
        <v>0</v>
      </c>
      <c r="F64" s="118">
        <f>SUM(F62:F63)</f>
        <v>0</v>
      </c>
      <c r="G64" s="119">
        <f>SUM(G62:G63)</f>
        <v>0</v>
      </c>
    </row>
    <row r="65" spans="1:7" ht="17.25" thickBot="1" x14ac:dyDescent="0.3">
      <c r="A65" s="158"/>
      <c r="B65" s="159" t="s">
        <v>352</v>
      </c>
      <c r="C65" s="164">
        <f>C61+C64</f>
        <v>93561</v>
      </c>
      <c r="D65" s="982">
        <f>D61+D64</f>
        <v>98766</v>
      </c>
      <c r="E65" s="982">
        <f>E61+E64</f>
        <v>0</v>
      </c>
      <c r="F65" s="982">
        <f>F61+F64</f>
        <v>5442</v>
      </c>
      <c r="G65" s="983">
        <f>G61+G64</f>
        <v>104208</v>
      </c>
    </row>
    <row r="67" spans="1:7" ht="15" customHeight="1" x14ac:dyDescent="0.2">
      <c r="G67" s="575"/>
    </row>
    <row r="68" spans="1:7" ht="15" customHeight="1" x14ac:dyDescent="0.2">
      <c r="G68" s="575"/>
    </row>
  </sheetData>
  <mergeCells count="11">
    <mergeCell ref="A42:A43"/>
    <mergeCell ref="B42:B43"/>
    <mergeCell ref="C42:C43"/>
    <mergeCell ref="D42:G42"/>
    <mergeCell ref="A1:G1"/>
    <mergeCell ref="A2:G2"/>
    <mergeCell ref="A4:G4"/>
    <mergeCell ref="A7:A8"/>
    <mergeCell ref="B7:B8"/>
    <mergeCell ref="C7:C8"/>
    <mergeCell ref="D7:G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SheetLayoutView="100" workbookViewId="0">
      <selection sqref="A1:F1"/>
    </sheetView>
  </sheetViews>
  <sheetFormatPr defaultRowHeight="15" customHeight="1" x14ac:dyDescent="0.2"/>
  <cols>
    <col min="1" max="1" width="13" style="97" customWidth="1"/>
    <col min="2" max="2" width="74.5703125" style="97" customWidth="1"/>
    <col min="3" max="3" width="14" style="97" customWidth="1"/>
    <col min="4" max="4" width="12.5703125" style="97" customWidth="1"/>
    <col min="5" max="5" width="13" style="97" customWidth="1"/>
    <col min="6" max="6" width="15.140625" style="97" customWidth="1"/>
    <col min="7" max="16384" width="9.140625" style="97"/>
  </cols>
  <sheetData>
    <row r="1" spans="1:6" ht="18.75" x14ac:dyDescent="0.3">
      <c r="A1" s="1837" t="str">
        <f>'9.Művészetek Háza'!A1:G1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</row>
    <row r="2" spans="1:6" ht="18.75" x14ac:dyDescent="0.3">
      <c r="A2" s="1837" t="str">
        <f>'9.Művészetek Háza'!A2:G2</f>
        <v>az Önkormányzat  2018. évi költségvetéséről</v>
      </c>
      <c r="B2" s="1837"/>
      <c r="C2" s="1837"/>
      <c r="D2" s="1837"/>
      <c r="E2" s="1837"/>
      <c r="F2" s="1837"/>
    </row>
    <row r="4" spans="1:6" ht="27.75" customHeight="1" x14ac:dyDescent="0.3">
      <c r="A4" s="1838" t="str">
        <f>Tartalomjegyzék_2018!B17</f>
        <v>Gazdasági Ellátó Szervezet, Pilisvörösvár költségvetése kötelező és önként vállalt feladat szerinti bontásban</v>
      </c>
      <c r="B4" s="1838"/>
      <c r="C4" s="1838"/>
      <c r="D4" s="1838"/>
      <c r="E4" s="1838"/>
      <c r="F4" s="1838"/>
    </row>
    <row r="5" spans="1:6" ht="18.75" x14ac:dyDescent="0.3">
      <c r="F5" s="318" t="s">
        <v>19</v>
      </c>
    </row>
    <row r="6" spans="1:6" ht="15" customHeight="1" thickBot="1" x14ac:dyDescent="0.35">
      <c r="F6" s="318" t="s">
        <v>329</v>
      </c>
    </row>
    <row r="7" spans="1:6" ht="18.75" x14ac:dyDescent="0.2">
      <c r="A7" s="1830" t="s">
        <v>370</v>
      </c>
      <c r="B7" s="1832" t="s">
        <v>787</v>
      </c>
      <c r="C7" s="1832" t="s">
        <v>1056</v>
      </c>
      <c r="D7" s="1834" t="s">
        <v>1057</v>
      </c>
      <c r="E7" s="1835"/>
      <c r="F7" s="1836"/>
    </row>
    <row r="8" spans="1:6" ht="49.5" x14ac:dyDescent="0.2">
      <c r="A8" s="1831"/>
      <c r="B8" s="1833"/>
      <c r="C8" s="1833"/>
      <c r="D8" s="1386" t="s">
        <v>159</v>
      </c>
      <c r="E8" s="1386" t="s">
        <v>160</v>
      </c>
      <c r="F8" s="1414" t="s">
        <v>371</v>
      </c>
    </row>
    <row r="9" spans="1:6" s="54" customFormat="1" ht="15" customHeight="1" x14ac:dyDescent="0.25">
      <c r="A9" s="114" t="s">
        <v>381</v>
      </c>
      <c r="B9" s="115" t="s">
        <v>380</v>
      </c>
      <c r="C9" s="115"/>
      <c r="D9" s="126"/>
      <c r="E9" s="126"/>
      <c r="F9" s="127">
        <f>D9+E9</f>
        <v>0</v>
      </c>
    </row>
    <row r="10" spans="1:6" s="54" customFormat="1" ht="15" customHeight="1" x14ac:dyDescent="0.25">
      <c r="A10" s="114" t="s">
        <v>383</v>
      </c>
      <c r="B10" s="115" t="s">
        <v>382</v>
      </c>
      <c r="C10" s="115"/>
      <c r="D10" s="126"/>
      <c r="E10" s="126"/>
      <c r="F10" s="127">
        <f t="shared" ref="F10:F40" si="0">D10+E10</f>
        <v>0</v>
      </c>
    </row>
    <row r="11" spans="1:6" s="54" customFormat="1" ht="15" customHeight="1" x14ac:dyDescent="0.25">
      <c r="A11" s="122" t="s">
        <v>385</v>
      </c>
      <c r="B11" s="105" t="s">
        <v>384</v>
      </c>
      <c r="C11" s="105"/>
      <c r="D11" s="154"/>
      <c r="E11" s="154"/>
      <c r="F11" s="127">
        <f t="shared" si="0"/>
        <v>0</v>
      </c>
    </row>
    <row r="12" spans="1:6" ht="15" customHeight="1" x14ac:dyDescent="0.25">
      <c r="A12" s="122" t="s">
        <v>389</v>
      </c>
      <c r="B12" s="105" t="s">
        <v>388</v>
      </c>
      <c r="C12" s="105"/>
      <c r="D12" s="154"/>
      <c r="E12" s="154"/>
      <c r="F12" s="127">
        <f t="shared" si="0"/>
        <v>0</v>
      </c>
    </row>
    <row r="13" spans="1:6" ht="15" customHeight="1" x14ac:dyDescent="0.25">
      <c r="A13" s="576" t="s">
        <v>153</v>
      </c>
      <c r="B13" s="577" t="s">
        <v>165</v>
      </c>
      <c r="C13" s="577"/>
      <c r="D13" s="154"/>
      <c r="E13" s="154"/>
      <c r="F13" s="127">
        <f t="shared" si="0"/>
        <v>0</v>
      </c>
    </row>
    <row r="14" spans="1:6" s="54" customFormat="1" ht="15" customHeight="1" x14ac:dyDescent="0.25">
      <c r="A14" s="114" t="s">
        <v>111</v>
      </c>
      <c r="B14" s="115" t="s">
        <v>164</v>
      </c>
      <c r="C14" s="115"/>
      <c r="D14" s="126"/>
      <c r="E14" s="126"/>
      <c r="F14" s="127">
        <f t="shared" si="0"/>
        <v>0</v>
      </c>
    </row>
    <row r="15" spans="1:6" s="54" customFormat="1" ht="15" customHeight="1" x14ac:dyDescent="0.25">
      <c r="A15" s="114" t="s">
        <v>392</v>
      </c>
      <c r="B15" s="115" t="s">
        <v>161</v>
      </c>
      <c r="C15" s="115"/>
      <c r="D15" s="126"/>
      <c r="E15" s="126"/>
      <c r="F15" s="127">
        <f t="shared" si="0"/>
        <v>0</v>
      </c>
    </row>
    <row r="16" spans="1:6" s="54" customFormat="1" ht="15" customHeight="1" x14ac:dyDescent="0.25">
      <c r="A16" s="122" t="s">
        <v>394</v>
      </c>
      <c r="B16" s="105" t="s">
        <v>393</v>
      </c>
      <c r="C16" s="105"/>
      <c r="D16" s="154"/>
      <c r="E16" s="154"/>
      <c r="F16" s="127">
        <f t="shared" si="0"/>
        <v>0</v>
      </c>
    </row>
    <row r="17" spans="1:6" s="54" customFormat="1" ht="15" customHeight="1" x14ac:dyDescent="0.25">
      <c r="A17" s="114" t="s">
        <v>123</v>
      </c>
      <c r="B17" s="107" t="s">
        <v>395</v>
      </c>
      <c r="C17" s="107"/>
      <c r="D17" s="126"/>
      <c r="E17" s="126"/>
      <c r="F17" s="127">
        <f t="shared" si="0"/>
        <v>0</v>
      </c>
    </row>
    <row r="18" spans="1:6" s="54" customFormat="1" ht="15" customHeight="1" x14ac:dyDescent="0.25">
      <c r="A18" s="114" t="s">
        <v>122</v>
      </c>
      <c r="B18" s="115" t="s">
        <v>125</v>
      </c>
      <c r="C18" s="115"/>
      <c r="D18" s="126"/>
      <c r="E18" s="126"/>
      <c r="F18" s="127">
        <f t="shared" si="0"/>
        <v>0</v>
      </c>
    </row>
    <row r="19" spans="1:6" s="54" customFormat="1" ht="15" customHeight="1" x14ac:dyDescent="0.25">
      <c r="A19" s="114" t="s">
        <v>121</v>
      </c>
      <c r="B19" s="115" t="s">
        <v>116</v>
      </c>
      <c r="C19" s="115"/>
      <c r="D19" s="126"/>
      <c r="E19" s="126"/>
      <c r="F19" s="127">
        <f t="shared" si="0"/>
        <v>0</v>
      </c>
    </row>
    <row r="20" spans="1:6" s="54" customFormat="1" ht="15" customHeight="1" x14ac:dyDescent="0.25">
      <c r="A20" s="114" t="s">
        <v>402</v>
      </c>
      <c r="B20" s="115" t="s">
        <v>401</v>
      </c>
      <c r="C20" s="115"/>
      <c r="D20" s="126"/>
      <c r="E20" s="126"/>
      <c r="F20" s="127">
        <f t="shared" si="0"/>
        <v>0</v>
      </c>
    </row>
    <row r="21" spans="1:6" s="54" customFormat="1" ht="15" customHeight="1" x14ac:dyDescent="0.25">
      <c r="A21" s="114" t="s">
        <v>404</v>
      </c>
      <c r="B21" s="115" t="s">
        <v>403</v>
      </c>
      <c r="C21" s="115"/>
      <c r="D21" s="126"/>
      <c r="E21" s="126"/>
      <c r="F21" s="127">
        <f t="shared" si="0"/>
        <v>0</v>
      </c>
    </row>
    <row r="22" spans="1:6" s="54" customFormat="1" ht="15" customHeight="1" x14ac:dyDescent="0.25">
      <c r="A22" s="114" t="s">
        <v>408</v>
      </c>
      <c r="B22" s="115" t="s">
        <v>407</v>
      </c>
      <c r="C22" s="115"/>
      <c r="D22" s="126"/>
      <c r="E22" s="126"/>
      <c r="F22" s="127">
        <f t="shared" si="0"/>
        <v>0</v>
      </c>
    </row>
    <row r="23" spans="1:6" s="54" customFormat="1" ht="15" customHeight="1" x14ac:dyDescent="0.25">
      <c r="A23" s="122" t="s">
        <v>410</v>
      </c>
      <c r="B23" s="106" t="s">
        <v>409</v>
      </c>
      <c r="C23" s="106"/>
      <c r="D23" s="154">
        <f>SUM(D17:D22)</f>
        <v>0</v>
      </c>
      <c r="E23" s="154">
        <f>SUM(E17:E22)</f>
        <v>0</v>
      </c>
      <c r="F23" s="127">
        <f>D23+E23</f>
        <v>0</v>
      </c>
    </row>
    <row r="24" spans="1:6" s="54" customFormat="1" ht="16.5" x14ac:dyDescent="0.25">
      <c r="A24" s="122" t="s">
        <v>416</v>
      </c>
      <c r="B24" s="105" t="s">
        <v>415</v>
      </c>
      <c r="C24" s="105"/>
      <c r="D24" s="154"/>
      <c r="E24" s="154"/>
      <c r="F24" s="127">
        <f t="shared" si="0"/>
        <v>0</v>
      </c>
    </row>
    <row r="25" spans="1:6" s="54" customFormat="1" ht="15" customHeight="1" x14ac:dyDescent="0.25">
      <c r="A25" s="122" t="s">
        <v>420</v>
      </c>
      <c r="B25" s="105" t="s">
        <v>419</v>
      </c>
      <c r="C25" s="105"/>
      <c r="D25" s="154"/>
      <c r="E25" s="154"/>
      <c r="F25" s="127">
        <f t="shared" si="0"/>
        <v>0</v>
      </c>
    </row>
    <row r="26" spans="1:6" s="54" customFormat="1" ht="15" customHeight="1" x14ac:dyDescent="0.25">
      <c r="A26" s="114" t="s">
        <v>422</v>
      </c>
      <c r="B26" s="115" t="s">
        <v>421</v>
      </c>
      <c r="C26" s="115"/>
      <c r="D26" s="154"/>
      <c r="E26" s="154"/>
      <c r="F26" s="127">
        <f t="shared" si="0"/>
        <v>0</v>
      </c>
    </row>
    <row r="27" spans="1:6" s="54" customFormat="1" ht="15" customHeight="1" x14ac:dyDescent="0.25">
      <c r="A27" s="114" t="s">
        <v>424</v>
      </c>
      <c r="B27" s="107" t="s">
        <v>423</v>
      </c>
      <c r="C27" s="107"/>
      <c r="D27" s="154"/>
      <c r="E27" s="154"/>
      <c r="F27" s="127">
        <f t="shared" si="0"/>
        <v>0</v>
      </c>
    </row>
    <row r="28" spans="1:6" s="54" customFormat="1" ht="15" customHeight="1" x14ac:dyDescent="0.25">
      <c r="A28" s="122" t="s">
        <v>426</v>
      </c>
      <c r="B28" s="105" t="s">
        <v>425</v>
      </c>
      <c r="C28" s="105"/>
      <c r="D28" s="154"/>
      <c r="E28" s="154"/>
      <c r="F28" s="127">
        <f t="shared" si="0"/>
        <v>0</v>
      </c>
    </row>
    <row r="29" spans="1:6" s="54" customFormat="1" ht="15" customHeight="1" x14ac:dyDescent="0.25">
      <c r="A29" s="128"/>
      <c r="B29" s="129" t="s">
        <v>98</v>
      </c>
      <c r="C29" s="130">
        <f>C11+C12+C16+C23+C25</f>
        <v>0</v>
      </c>
      <c r="D29" s="130">
        <f>D11+D12+D16+D23+D25</f>
        <v>0</v>
      </c>
      <c r="E29" s="130">
        <f>E11+E12+E16+E23+E25</f>
        <v>0</v>
      </c>
      <c r="F29" s="131">
        <f>D29+E29</f>
        <v>0</v>
      </c>
    </row>
    <row r="30" spans="1:6" ht="15" customHeight="1" x14ac:dyDescent="0.25">
      <c r="A30" s="128"/>
      <c r="B30" s="129" t="s">
        <v>99</v>
      </c>
      <c r="C30" s="130">
        <f>C24+C28</f>
        <v>0</v>
      </c>
      <c r="D30" s="130">
        <f>D24+D28</f>
        <v>0</v>
      </c>
      <c r="E30" s="130">
        <f>E24+E28</f>
        <v>0</v>
      </c>
      <c r="F30" s="131">
        <f t="shared" si="0"/>
        <v>0</v>
      </c>
    </row>
    <row r="31" spans="1:6" ht="15" customHeight="1" x14ac:dyDescent="0.25">
      <c r="A31" s="117" t="s">
        <v>428</v>
      </c>
      <c r="B31" s="112" t="s">
        <v>427</v>
      </c>
      <c r="C31" s="123">
        <f>SUM(C29:C30)</f>
        <v>0</v>
      </c>
      <c r="D31" s="123">
        <f>SUM(D29:D30)</f>
        <v>0</v>
      </c>
      <c r="E31" s="123">
        <f>SUM(E29:E30)</f>
        <v>0</v>
      </c>
      <c r="F31" s="124">
        <f t="shared" si="0"/>
        <v>0</v>
      </c>
    </row>
    <row r="32" spans="1:6" ht="15" customHeight="1" x14ac:dyDescent="0.25">
      <c r="A32" s="132"/>
      <c r="B32" s="133" t="s">
        <v>429</v>
      </c>
      <c r="C32" s="134">
        <f t="shared" ref="C32:E33" si="1">C29-C59</f>
        <v>-37841</v>
      </c>
      <c r="D32" s="134">
        <f t="shared" si="1"/>
        <v>-28024</v>
      </c>
      <c r="E32" s="134">
        <f t="shared" si="1"/>
        <v>0</v>
      </c>
      <c r="F32" s="135">
        <f t="shared" si="0"/>
        <v>-28024</v>
      </c>
    </row>
    <row r="33" spans="1:7" ht="15" customHeight="1" x14ac:dyDescent="0.25">
      <c r="A33" s="132"/>
      <c r="B33" s="133" t="s">
        <v>430</v>
      </c>
      <c r="C33" s="134">
        <f t="shared" si="1"/>
        <v>-216</v>
      </c>
      <c r="D33" s="134">
        <f t="shared" si="1"/>
        <v>-508</v>
      </c>
      <c r="E33" s="134">
        <f t="shared" si="1"/>
        <v>0</v>
      </c>
      <c r="F33" s="135">
        <f t="shared" si="0"/>
        <v>-508</v>
      </c>
    </row>
    <row r="34" spans="1:7" ht="15" customHeight="1" x14ac:dyDescent="0.25">
      <c r="A34" s="120" t="s">
        <v>434</v>
      </c>
      <c r="B34" s="107" t="s">
        <v>433</v>
      </c>
      <c r="C34" s="107"/>
      <c r="D34" s="126"/>
      <c r="E34" s="126"/>
      <c r="F34" s="127">
        <f t="shared" si="0"/>
        <v>0</v>
      </c>
    </row>
    <row r="35" spans="1:7" ht="15" customHeight="1" x14ac:dyDescent="0.25">
      <c r="A35" s="120" t="s">
        <v>436</v>
      </c>
      <c r="B35" s="115" t="s">
        <v>435</v>
      </c>
      <c r="C35" s="115"/>
      <c r="D35" s="126"/>
      <c r="E35" s="126"/>
      <c r="F35" s="127">
        <f t="shared" si="0"/>
        <v>0</v>
      </c>
    </row>
    <row r="36" spans="1:7" ht="30.75" customHeight="1" x14ac:dyDescent="0.25">
      <c r="A36" s="120" t="s">
        <v>436</v>
      </c>
      <c r="B36" s="115" t="s">
        <v>437</v>
      </c>
      <c r="C36" s="115"/>
      <c r="D36" s="126"/>
      <c r="E36" s="126"/>
      <c r="F36" s="127">
        <f t="shared" si="0"/>
        <v>0</v>
      </c>
    </row>
    <row r="37" spans="1:7" s="54" customFormat="1" ht="15" customHeight="1" x14ac:dyDescent="0.25">
      <c r="A37" s="120" t="s">
        <v>439</v>
      </c>
      <c r="B37" s="115" t="s">
        <v>438</v>
      </c>
      <c r="C37" s="115"/>
      <c r="D37" s="126"/>
      <c r="E37" s="126"/>
      <c r="F37" s="127">
        <f t="shared" si="0"/>
        <v>0</v>
      </c>
    </row>
    <row r="38" spans="1:7" ht="15" customHeight="1" x14ac:dyDescent="0.25">
      <c r="A38" s="136" t="s">
        <v>441</v>
      </c>
      <c r="B38" s="137" t="s">
        <v>440</v>
      </c>
      <c r="C38" s="126">
        <f>'3. Gesz költségvetés'!I33</f>
        <v>38057</v>
      </c>
      <c r="D38" s="126">
        <f>'3. Gesz költségvetés'!J33</f>
        <v>28532</v>
      </c>
      <c r="E38" s="126"/>
      <c r="F38" s="127">
        <f t="shared" si="0"/>
        <v>28532</v>
      </c>
    </row>
    <row r="39" spans="1:7" ht="15" customHeight="1" x14ac:dyDescent="0.25">
      <c r="A39" s="146" t="s">
        <v>449</v>
      </c>
      <c r="B39" s="145" t="s">
        <v>448</v>
      </c>
      <c r="C39" s="123">
        <f>SUM(C34:C38)</f>
        <v>38057</v>
      </c>
      <c r="D39" s="123">
        <f>SUM(D34:D38)</f>
        <v>28532</v>
      </c>
      <c r="E39" s="123">
        <f>SUM(E34:E38)</f>
        <v>0</v>
      </c>
      <c r="F39" s="124">
        <f t="shared" si="0"/>
        <v>28532</v>
      </c>
    </row>
    <row r="40" spans="1:7" ht="17.25" thickBot="1" x14ac:dyDescent="0.3">
      <c r="A40" s="158"/>
      <c r="B40" s="159" t="s">
        <v>362</v>
      </c>
      <c r="C40" s="164">
        <f>C31+C38</f>
        <v>38057</v>
      </c>
      <c r="D40" s="164">
        <f>D31+D38</f>
        <v>28532</v>
      </c>
      <c r="E40" s="164">
        <f>E31+E38</f>
        <v>0</v>
      </c>
      <c r="F40" s="165">
        <f t="shared" si="0"/>
        <v>28532</v>
      </c>
      <c r="G40" s="575"/>
    </row>
    <row r="41" spans="1:7" ht="15" customHeight="1" thickBot="1" x14ac:dyDescent="0.3">
      <c r="A41" s="979"/>
      <c r="B41" s="979"/>
      <c r="C41" s="979"/>
      <c r="D41" s="979"/>
      <c r="E41" s="979"/>
      <c r="F41" s="979"/>
    </row>
    <row r="42" spans="1:7" ht="18.75" x14ac:dyDescent="0.2">
      <c r="A42" s="1830" t="s">
        <v>370</v>
      </c>
      <c r="B42" s="1832" t="s">
        <v>788</v>
      </c>
      <c r="C42" s="1832" t="s">
        <v>1056</v>
      </c>
      <c r="D42" s="1834" t="s">
        <v>1057</v>
      </c>
      <c r="E42" s="1835"/>
      <c r="F42" s="1836"/>
    </row>
    <row r="43" spans="1:7" ht="49.5" x14ac:dyDescent="0.2">
      <c r="A43" s="1831"/>
      <c r="B43" s="1833"/>
      <c r="C43" s="1833"/>
      <c r="D43" s="1386" t="s">
        <v>159</v>
      </c>
      <c r="E43" s="1386" t="s">
        <v>160</v>
      </c>
      <c r="F43" s="1414" t="s">
        <v>371</v>
      </c>
    </row>
    <row r="44" spans="1:7" ht="15" customHeight="1" x14ac:dyDescent="0.25">
      <c r="A44" s="103" t="s">
        <v>294</v>
      </c>
      <c r="B44" s="104" t="s">
        <v>295</v>
      </c>
      <c r="C44" s="126">
        <f>'3. Gesz költségvetés'!I39</f>
        <v>21444</v>
      </c>
      <c r="D44" s="126">
        <f>'3. Gesz költségvetés'!J39</f>
        <v>20300</v>
      </c>
      <c r="E44" s="126"/>
      <c r="F44" s="127">
        <f>D44+E44</f>
        <v>20300</v>
      </c>
    </row>
    <row r="45" spans="1:7" ht="15" customHeight="1" x14ac:dyDescent="0.25">
      <c r="A45" s="103" t="s">
        <v>296</v>
      </c>
      <c r="B45" s="115" t="s">
        <v>297</v>
      </c>
      <c r="C45" s="126">
        <f>'3. Gesz költségvetés'!I40</f>
        <v>5445</v>
      </c>
      <c r="D45" s="126">
        <f>'3. Gesz költségvetés'!J40</f>
        <v>4393</v>
      </c>
      <c r="E45" s="126"/>
      <c r="F45" s="127">
        <f>D45+E45</f>
        <v>4393</v>
      </c>
    </row>
    <row r="46" spans="1:7" ht="15" customHeight="1" x14ac:dyDescent="0.25">
      <c r="A46" s="103" t="s">
        <v>298</v>
      </c>
      <c r="B46" s="115" t="s">
        <v>299</v>
      </c>
      <c r="C46" s="126">
        <f>'3. Gesz költségvetés'!I41</f>
        <v>10952</v>
      </c>
      <c r="D46" s="126">
        <f>'3. Gesz költségvetés'!J41</f>
        <v>3331</v>
      </c>
      <c r="E46" s="126"/>
      <c r="F46" s="127">
        <f>D46+E46</f>
        <v>3331</v>
      </c>
    </row>
    <row r="47" spans="1:7" ht="15" customHeight="1" x14ac:dyDescent="0.25">
      <c r="A47" s="103" t="s">
        <v>300</v>
      </c>
      <c r="B47" s="107" t="s">
        <v>38</v>
      </c>
      <c r="C47" s="126"/>
      <c r="D47" s="126"/>
      <c r="E47" s="126"/>
      <c r="F47" s="127">
        <f t="shared" ref="F47:F58" si="2">D47+E47</f>
        <v>0</v>
      </c>
    </row>
    <row r="48" spans="1:7" ht="15" customHeight="1" x14ac:dyDescent="0.25">
      <c r="A48" s="103" t="s">
        <v>301</v>
      </c>
      <c r="B48" s="108" t="s">
        <v>302</v>
      </c>
      <c r="C48" s="126"/>
      <c r="D48" s="126"/>
      <c r="E48" s="126"/>
      <c r="F48" s="127">
        <f t="shared" si="2"/>
        <v>0</v>
      </c>
    </row>
    <row r="49" spans="1:6" ht="15" customHeight="1" x14ac:dyDescent="0.25">
      <c r="A49" s="103" t="s">
        <v>304</v>
      </c>
      <c r="B49" s="108" t="s">
        <v>303</v>
      </c>
      <c r="C49" s="126"/>
      <c r="D49" s="126"/>
      <c r="E49" s="126"/>
      <c r="F49" s="127">
        <f t="shared" si="2"/>
        <v>0</v>
      </c>
    </row>
    <row r="50" spans="1:6" ht="15" customHeight="1" x14ac:dyDescent="0.25">
      <c r="A50" s="103" t="s">
        <v>776</v>
      </c>
      <c r="B50" s="109" t="s">
        <v>305</v>
      </c>
      <c r="C50" s="126"/>
      <c r="D50" s="126"/>
      <c r="E50" s="126"/>
      <c r="F50" s="127">
        <f t="shared" si="2"/>
        <v>0</v>
      </c>
    </row>
    <row r="51" spans="1:6" ht="15" customHeight="1" x14ac:dyDescent="0.25">
      <c r="A51" s="103" t="s">
        <v>776</v>
      </c>
      <c r="B51" s="109" t="s">
        <v>163</v>
      </c>
      <c r="C51" s="126"/>
      <c r="D51" s="126"/>
      <c r="E51" s="126"/>
      <c r="F51" s="127">
        <f t="shared" si="2"/>
        <v>0</v>
      </c>
    </row>
    <row r="52" spans="1:6" ht="15" customHeight="1" x14ac:dyDescent="0.25">
      <c r="A52" s="103" t="s">
        <v>776</v>
      </c>
      <c r="B52" s="109" t="s">
        <v>306</v>
      </c>
      <c r="C52" s="126"/>
      <c r="D52" s="126"/>
      <c r="E52" s="126"/>
      <c r="F52" s="127">
        <f t="shared" si="2"/>
        <v>0</v>
      </c>
    </row>
    <row r="53" spans="1:6" ht="15" customHeight="1" x14ac:dyDescent="0.25">
      <c r="A53" s="103" t="s">
        <v>307</v>
      </c>
      <c r="B53" s="107" t="s">
        <v>308</v>
      </c>
      <c r="C53" s="126"/>
      <c r="D53" s="126"/>
      <c r="E53" s="126"/>
      <c r="F53" s="127">
        <f t="shared" si="2"/>
        <v>0</v>
      </c>
    </row>
    <row r="54" spans="1:6" ht="15" customHeight="1" x14ac:dyDescent="0.25">
      <c r="A54" s="103" t="s">
        <v>309</v>
      </c>
      <c r="B54" s="138" t="s">
        <v>452</v>
      </c>
      <c r="C54" s="126">
        <f>'3. Gesz költségvetés'!I48</f>
        <v>216</v>
      </c>
      <c r="D54" s="126">
        <f>'3. Gesz költségvetés'!J48</f>
        <v>508</v>
      </c>
      <c r="E54" s="126"/>
      <c r="F54" s="127">
        <f t="shared" si="2"/>
        <v>508</v>
      </c>
    </row>
    <row r="55" spans="1:6" ht="15" customHeight="1" x14ac:dyDescent="0.25">
      <c r="A55" s="103" t="s">
        <v>310</v>
      </c>
      <c r="B55" s="107" t="s">
        <v>311</v>
      </c>
      <c r="C55" s="126"/>
      <c r="D55" s="126"/>
      <c r="E55" s="126"/>
      <c r="F55" s="127">
        <f t="shared" si="2"/>
        <v>0</v>
      </c>
    </row>
    <row r="56" spans="1:6" ht="15" customHeight="1" x14ac:dyDescent="0.25">
      <c r="A56" s="103" t="s">
        <v>259</v>
      </c>
      <c r="B56" s="107" t="s">
        <v>162</v>
      </c>
      <c r="C56" s="126"/>
      <c r="D56" s="126"/>
      <c r="E56" s="126"/>
      <c r="F56" s="127">
        <f t="shared" si="2"/>
        <v>0</v>
      </c>
    </row>
    <row r="57" spans="1:6" ht="15" customHeight="1" x14ac:dyDescent="0.25">
      <c r="A57" s="103" t="s">
        <v>312</v>
      </c>
      <c r="B57" s="107" t="s">
        <v>313</v>
      </c>
      <c r="C57" s="126"/>
      <c r="D57" s="126"/>
      <c r="E57" s="126"/>
      <c r="F57" s="127">
        <f t="shared" si="2"/>
        <v>0</v>
      </c>
    </row>
    <row r="58" spans="1:6" ht="15" customHeight="1" x14ac:dyDescent="0.25">
      <c r="A58" s="103" t="s">
        <v>314</v>
      </c>
      <c r="B58" s="107" t="s">
        <v>315</v>
      </c>
      <c r="C58" s="126"/>
      <c r="D58" s="126"/>
      <c r="E58" s="126"/>
      <c r="F58" s="127">
        <f t="shared" si="2"/>
        <v>0</v>
      </c>
    </row>
    <row r="59" spans="1:6" ht="15" customHeight="1" x14ac:dyDescent="0.25">
      <c r="A59" s="147"/>
      <c r="B59" s="144" t="s">
        <v>330</v>
      </c>
      <c r="C59" s="156">
        <f>SUM(C44:C53)</f>
        <v>37841</v>
      </c>
      <c r="D59" s="156">
        <f>SUM(D44:D53)</f>
        <v>28024</v>
      </c>
      <c r="E59" s="156">
        <f>SUM(E44:E53)</f>
        <v>0</v>
      </c>
      <c r="F59" s="157">
        <f>SUM(F44:F53)</f>
        <v>28024</v>
      </c>
    </row>
    <row r="60" spans="1:6" ht="15" customHeight="1" x14ac:dyDescent="0.25">
      <c r="A60" s="147"/>
      <c r="B60" s="144" t="s">
        <v>331</v>
      </c>
      <c r="C60" s="156">
        <f>SUM(C54:C58)</f>
        <v>216</v>
      </c>
      <c r="D60" s="156">
        <f>SUM(D54:D58)</f>
        <v>508</v>
      </c>
      <c r="E60" s="156">
        <f>SUM(E54:E58)</f>
        <v>0</v>
      </c>
      <c r="F60" s="157">
        <f>SUM(F54:F58)</f>
        <v>508</v>
      </c>
    </row>
    <row r="61" spans="1:6" ht="15" customHeight="1" x14ac:dyDescent="0.25">
      <c r="A61" s="117" t="s">
        <v>316</v>
      </c>
      <c r="B61" s="112" t="s">
        <v>317</v>
      </c>
      <c r="C61" s="123">
        <f>SUM(C59:C60)</f>
        <v>38057</v>
      </c>
      <c r="D61" s="123">
        <f>SUM(D59:D60)</f>
        <v>28532</v>
      </c>
      <c r="E61" s="123">
        <f>SUM(E59:E60)</f>
        <v>0</v>
      </c>
      <c r="F61" s="124">
        <f>SUM(F59:F60)</f>
        <v>28532</v>
      </c>
    </row>
    <row r="62" spans="1:6" ht="15" customHeight="1" x14ac:dyDescent="0.2">
      <c r="A62" s="120" t="s">
        <v>318</v>
      </c>
      <c r="B62" s="107" t="s">
        <v>260</v>
      </c>
      <c r="C62" s="113"/>
      <c r="D62" s="113"/>
      <c r="E62" s="113"/>
      <c r="F62" s="140"/>
    </row>
    <row r="63" spans="1:6" ht="15" customHeight="1" x14ac:dyDescent="0.2">
      <c r="A63" s="120" t="s">
        <v>332</v>
      </c>
      <c r="B63" s="107" t="s">
        <v>333</v>
      </c>
      <c r="C63" s="141"/>
      <c r="D63" s="141"/>
      <c r="E63" s="141"/>
      <c r="F63" s="142"/>
    </row>
    <row r="64" spans="1:6" ht="15" customHeight="1" x14ac:dyDescent="0.25">
      <c r="A64" s="146" t="s">
        <v>328</v>
      </c>
      <c r="B64" s="145" t="s">
        <v>41</v>
      </c>
      <c r="C64" s="123">
        <f>SUM(C62:C63)</f>
        <v>0</v>
      </c>
      <c r="D64" s="123">
        <f>SUM(D62:D63)</f>
        <v>0</v>
      </c>
      <c r="E64" s="123">
        <f>SUM(E62:E63)</f>
        <v>0</v>
      </c>
      <c r="F64" s="124">
        <f>SUM(F62:F63)</f>
        <v>0</v>
      </c>
    </row>
    <row r="65" spans="1:6" ht="17.25" thickBot="1" x14ac:dyDescent="0.3">
      <c r="A65" s="158"/>
      <c r="B65" s="159" t="s">
        <v>352</v>
      </c>
      <c r="C65" s="164">
        <f>C61+C64</f>
        <v>38057</v>
      </c>
      <c r="D65" s="164">
        <f>D61+D64</f>
        <v>28532</v>
      </c>
      <c r="E65" s="164">
        <f>E61+E64</f>
        <v>0</v>
      </c>
      <c r="F65" s="165">
        <f>F61+F64</f>
        <v>28532</v>
      </c>
    </row>
    <row r="67" spans="1:6" ht="15" customHeight="1" x14ac:dyDescent="0.2">
      <c r="F67" s="575"/>
    </row>
    <row r="68" spans="1:6" ht="15" customHeight="1" x14ac:dyDescent="0.2">
      <c r="F68" s="575"/>
    </row>
  </sheetData>
  <mergeCells count="11">
    <mergeCell ref="A1:F1"/>
    <mergeCell ref="A2:F2"/>
    <mergeCell ref="A4:F4"/>
    <mergeCell ref="A42:A43"/>
    <mergeCell ref="B42:B43"/>
    <mergeCell ref="C42:C43"/>
    <mergeCell ref="D42:F42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SheetLayoutView="100" workbookViewId="0">
      <selection sqref="A1:F1"/>
    </sheetView>
  </sheetViews>
  <sheetFormatPr defaultRowHeight="15" customHeight="1" x14ac:dyDescent="0.2"/>
  <cols>
    <col min="1" max="1" width="13" style="97" customWidth="1"/>
    <col min="2" max="2" width="74.5703125" style="97" customWidth="1"/>
    <col min="3" max="3" width="18.85546875" style="97" customWidth="1"/>
    <col min="4" max="4" width="12.5703125" style="97" customWidth="1"/>
    <col min="5" max="5" width="13" style="97" customWidth="1"/>
    <col min="6" max="6" width="15.140625" style="97" customWidth="1"/>
    <col min="7" max="16384" width="9.140625" style="97"/>
  </cols>
  <sheetData>
    <row r="1" spans="1:6" ht="18.75" x14ac:dyDescent="0.3">
      <c r="A1" s="1837" t="str">
        <f>'10.GESZ'!A1:F1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</row>
    <row r="2" spans="1:6" ht="18.75" x14ac:dyDescent="0.3">
      <c r="A2" s="1837" t="str">
        <f>'10.GESZ'!A2:F2</f>
        <v>az Önkormányzat  2018. évi költségvetéséről</v>
      </c>
      <c r="B2" s="1837"/>
      <c r="C2" s="1837"/>
      <c r="D2" s="1837"/>
      <c r="E2" s="1837"/>
      <c r="F2" s="1837"/>
    </row>
    <row r="4" spans="1:6" ht="18.75" x14ac:dyDescent="0.3">
      <c r="A4" s="1838" t="str">
        <f>Tartalomjegyzék_2018!B18</f>
        <v>Pilisvörösvár Tipegő Bölcsőde költségvetése kötelező és önként vállalt feladat szerinti bontásban</v>
      </c>
      <c r="B4" s="1838"/>
      <c r="C4" s="1838"/>
      <c r="D4" s="1838"/>
      <c r="E4" s="1838"/>
      <c r="F4" s="1838"/>
    </row>
    <row r="5" spans="1:6" ht="18.75" x14ac:dyDescent="0.3">
      <c r="F5" s="318" t="s">
        <v>366</v>
      </c>
    </row>
    <row r="6" spans="1:6" ht="15" customHeight="1" thickBot="1" x14ac:dyDescent="0.35">
      <c r="F6" s="318" t="s">
        <v>329</v>
      </c>
    </row>
    <row r="7" spans="1:6" ht="18.75" x14ac:dyDescent="0.2">
      <c r="A7" s="1830" t="s">
        <v>370</v>
      </c>
      <c r="B7" s="1832" t="s">
        <v>787</v>
      </c>
      <c r="C7" s="1832" t="s">
        <v>1056</v>
      </c>
      <c r="D7" s="1834" t="s">
        <v>1057</v>
      </c>
      <c r="E7" s="1835"/>
      <c r="F7" s="1836"/>
    </row>
    <row r="8" spans="1:6" ht="49.5" x14ac:dyDescent="0.2">
      <c r="A8" s="1831"/>
      <c r="B8" s="1833"/>
      <c r="C8" s="1833"/>
      <c r="D8" s="1386" t="s">
        <v>159</v>
      </c>
      <c r="E8" s="1386" t="s">
        <v>160</v>
      </c>
      <c r="F8" s="1414" t="s">
        <v>371</v>
      </c>
    </row>
    <row r="9" spans="1:6" s="54" customFormat="1" ht="15" customHeight="1" x14ac:dyDescent="0.25">
      <c r="A9" s="114" t="s">
        <v>381</v>
      </c>
      <c r="B9" s="115" t="s">
        <v>380</v>
      </c>
      <c r="C9" s="115"/>
      <c r="D9" s="126"/>
      <c r="E9" s="126"/>
      <c r="F9" s="127">
        <f>D9+E9</f>
        <v>0</v>
      </c>
    </row>
    <row r="10" spans="1:6" s="54" customFormat="1" ht="15" customHeight="1" x14ac:dyDescent="0.25">
      <c r="A10" s="114" t="s">
        <v>383</v>
      </c>
      <c r="B10" s="115" t="s">
        <v>382</v>
      </c>
      <c r="C10" s="115"/>
      <c r="D10" s="126"/>
      <c r="E10" s="126"/>
      <c r="F10" s="127">
        <f t="shared" ref="F10:F40" si="0">D10+E10</f>
        <v>0</v>
      </c>
    </row>
    <row r="11" spans="1:6" s="54" customFormat="1" ht="15" customHeight="1" x14ac:dyDescent="0.25">
      <c r="A11" s="122" t="s">
        <v>385</v>
      </c>
      <c r="B11" s="105" t="s">
        <v>384</v>
      </c>
      <c r="C11" s="105"/>
      <c r="D11" s="154"/>
      <c r="E11" s="154"/>
      <c r="F11" s="127">
        <f t="shared" si="0"/>
        <v>0</v>
      </c>
    </row>
    <row r="12" spans="1:6" ht="15" customHeight="1" x14ac:dyDescent="0.25">
      <c r="A12" s="122" t="s">
        <v>389</v>
      </c>
      <c r="B12" s="105" t="s">
        <v>388</v>
      </c>
      <c r="C12" s="105"/>
      <c r="D12" s="154"/>
      <c r="E12" s="154"/>
      <c r="F12" s="127">
        <f t="shared" si="0"/>
        <v>0</v>
      </c>
    </row>
    <row r="13" spans="1:6" ht="15" customHeight="1" x14ac:dyDescent="0.25">
      <c r="A13" s="576" t="s">
        <v>153</v>
      </c>
      <c r="B13" s="577" t="s">
        <v>165</v>
      </c>
      <c r="C13" s="577"/>
      <c r="D13" s="154"/>
      <c r="E13" s="154"/>
      <c r="F13" s="127">
        <f t="shared" si="0"/>
        <v>0</v>
      </c>
    </row>
    <row r="14" spans="1:6" s="54" customFormat="1" ht="15" customHeight="1" x14ac:dyDescent="0.25">
      <c r="A14" s="114" t="s">
        <v>111</v>
      </c>
      <c r="B14" s="115" t="s">
        <v>164</v>
      </c>
      <c r="C14" s="115"/>
      <c r="D14" s="126"/>
      <c r="E14" s="126"/>
      <c r="F14" s="127">
        <f t="shared" si="0"/>
        <v>0</v>
      </c>
    </row>
    <row r="15" spans="1:6" s="54" customFormat="1" ht="15" customHeight="1" x14ac:dyDescent="0.25">
      <c r="A15" s="114" t="s">
        <v>392</v>
      </c>
      <c r="B15" s="115" t="s">
        <v>161</v>
      </c>
      <c r="C15" s="115"/>
      <c r="D15" s="126"/>
      <c r="E15" s="126"/>
      <c r="F15" s="127">
        <f t="shared" si="0"/>
        <v>0</v>
      </c>
    </row>
    <row r="16" spans="1:6" s="54" customFormat="1" ht="15" customHeight="1" x14ac:dyDescent="0.25">
      <c r="A16" s="122" t="s">
        <v>394</v>
      </c>
      <c r="B16" s="105" t="s">
        <v>393</v>
      </c>
      <c r="C16" s="105"/>
      <c r="D16" s="154"/>
      <c r="E16" s="154"/>
      <c r="F16" s="127">
        <f t="shared" si="0"/>
        <v>0</v>
      </c>
    </row>
    <row r="17" spans="1:6" s="54" customFormat="1" ht="15" customHeight="1" x14ac:dyDescent="0.25">
      <c r="A17" s="114" t="s">
        <v>123</v>
      </c>
      <c r="B17" s="107" t="s">
        <v>395</v>
      </c>
      <c r="C17" s="107"/>
      <c r="D17" s="126"/>
      <c r="E17" s="126"/>
      <c r="F17" s="127">
        <f t="shared" si="0"/>
        <v>0</v>
      </c>
    </row>
    <row r="18" spans="1:6" s="54" customFormat="1" ht="15" customHeight="1" x14ac:dyDescent="0.25">
      <c r="A18" s="114" t="s">
        <v>122</v>
      </c>
      <c r="B18" s="115" t="s">
        <v>125</v>
      </c>
      <c r="C18" s="115"/>
      <c r="D18" s="126"/>
      <c r="E18" s="126"/>
      <c r="F18" s="127">
        <f t="shared" si="0"/>
        <v>0</v>
      </c>
    </row>
    <row r="19" spans="1:6" s="54" customFormat="1" ht="15" customHeight="1" x14ac:dyDescent="0.25">
      <c r="A19" s="114" t="s">
        <v>121</v>
      </c>
      <c r="B19" s="115" t="s">
        <v>116</v>
      </c>
      <c r="C19" s="115"/>
      <c r="D19" s="126"/>
      <c r="E19" s="126"/>
      <c r="F19" s="127">
        <f t="shared" si="0"/>
        <v>0</v>
      </c>
    </row>
    <row r="20" spans="1:6" s="54" customFormat="1" ht="15" customHeight="1" x14ac:dyDescent="0.25">
      <c r="A20" s="114" t="s">
        <v>402</v>
      </c>
      <c r="B20" s="115" t="s">
        <v>401</v>
      </c>
      <c r="C20" s="115"/>
      <c r="D20" s="126"/>
      <c r="E20" s="126"/>
      <c r="F20" s="127">
        <f t="shared" si="0"/>
        <v>0</v>
      </c>
    </row>
    <row r="21" spans="1:6" s="54" customFormat="1" ht="15" customHeight="1" x14ac:dyDescent="0.25">
      <c r="A21" s="114" t="s">
        <v>404</v>
      </c>
      <c r="B21" s="115" t="s">
        <v>403</v>
      </c>
      <c r="C21" s="126">
        <f>'3. Gesz költségvetés'!K22</f>
        <v>2512</v>
      </c>
      <c r="D21" s="126">
        <f>'3. Gesz költségvetés'!L22</f>
        <v>2510</v>
      </c>
      <c r="E21" s="126"/>
      <c r="F21" s="127">
        <f t="shared" si="0"/>
        <v>2510</v>
      </c>
    </row>
    <row r="22" spans="1:6" s="54" customFormat="1" ht="15" customHeight="1" x14ac:dyDescent="0.25">
      <c r="A22" s="114" t="s">
        <v>408</v>
      </c>
      <c r="B22" s="115" t="s">
        <v>407</v>
      </c>
      <c r="C22" s="115"/>
      <c r="D22" s="126"/>
      <c r="E22" s="126"/>
      <c r="F22" s="127">
        <f t="shared" si="0"/>
        <v>0</v>
      </c>
    </row>
    <row r="23" spans="1:6" s="54" customFormat="1" ht="15" customHeight="1" x14ac:dyDescent="0.25">
      <c r="A23" s="122" t="s">
        <v>410</v>
      </c>
      <c r="B23" s="106" t="s">
        <v>409</v>
      </c>
      <c r="C23" s="154">
        <f>SUM(C17:C22)</f>
        <v>2512</v>
      </c>
      <c r="D23" s="154">
        <f>SUM(D17:D22)</f>
        <v>2510</v>
      </c>
      <c r="E23" s="154">
        <f>SUM(E17:E22)</f>
        <v>0</v>
      </c>
      <c r="F23" s="127">
        <f t="shared" si="0"/>
        <v>2510</v>
      </c>
    </row>
    <row r="24" spans="1:6" s="54" customFormat="1" ht="16.5" x14ac:dyDescent="0.25">
      <c r="A24" s="122" t="s">
        <v>416</v>
      </c>
      <c r="B24" s="105" t="s">
        <v>415</v>
      </c>
      <c r="C24" s="105"/>
      <c r="D24" s="154"/>
      <c r="E24" s="154"/>
      <c r="F24" s="127">
        <f t="shared" si="0"/>
        <v>0</v>
      </c>
    </row>
    <row r="25" spans="1:6" s="54" customFormat="1" ht="15" customHeight="1" x14ac:dyDescent="0.25">
      <c r="A25" s="122" t="s">
        <v>420</v>
      </c>
      <c r="B25" s="105" t="s">
        <v>419</v>
      </c>
      <c r="C25" s="105"/>
      <c r="D25" s="154"/>
      <c r="E25" s="154"/>
      <c r="F25" s="127">
        <f t="shared" si="0"/>
        <v>0</v>
      </c>
    </row>
    <row r="26" spans="1:6" s="54" customFormat="1" ht="15" customHeight="1" x14ac:dyDescent="0.25">
      <c r="A26" s="114" t="s">
        <v>422</v>
      </c>
      <c r="B26" s="115" t="s">
        <v>421</v>
      </c>
      <c r="C26" s="115"/>
      <c r="D26" s="154"/>
      <c r="E26" s="154"/>
      <c r="F26" s="127">
        <f t="shared" si="0"/>
        <v>0</v>
      </c>
    </row>
    <row r="27" spans="1:6" s="54" customFormat="1" ht="15" customHeight="1" x14ac:dyDescent="0.25">
      <c r="A27" s="114" t="s">
        <v>424</v>
      </c>
      <c r="B27" s="107" t="s">
        <v>423</v>
      </c>
      <c r="C27" s="107"/>
      <c r="D27" s="154"/>
      <c r="E27" s="154"/>
      <c r="F27" s="127">
        <f t="shared" si="0"/>
        <v>0</v>
      </c>
    </row>
    <row r="28" spans="1:6" s="54" customFormat="1" ht="15" customHeight="1" x14ac:dyDescent="0.25">
      <c r="A28" s="122" t="s">
        <v>426</v>
      </c>
      <c r="B28" s="105" t="s">
        <v>425</v>
      </c>
      <c r="C28" s="105"/>
      <c r="D28" s="154"/>
      <c r="E28" s="154"/>
      <c r="F28" s="127">
        <f t="shared" si="0"/>
        <v>0</v>
      </c>
    </row>
    <row r="29" spans="1:6" s="54" customFormat="1" ht="15" customHeight="1" x14ac:dyDescent="0.25">
      <c r="A29" s="128"/>
      <c r="B29" s="129" t="s">
        <v>98</v>
      </c>
      <c r="C29" s="130">
        <f>C11+C12+C16+C23+C25</f>
        <v>2512</v>
      </c>
      <c r="D29" s="130">
        <f>D11+D12+D16+D23+D25</f>
        <v>2510</v>
      </c>
      <c r="E29" s="130">
        <f>E11+E12+E16+E23+E25</f>
        <v>0</v>
      </c>
      <c r="F29" s="131">
        <f>D29+E29</f>
        <v>2510</v>
      </c>
    </row>
    <row r="30" spans="1:6" ht="15" customHeight="1" x14ac:dyDescent="0.25">
      <c r="A30" s="128"/>
      <c r="B30" s="129" t="s">
        <v>99</v>
      </c>
      <c r="C30" s="130">
        <f>C24+C28</f>
        <v>0</v>
      </c>
      <c r="D30" s="130">
        <f>D24+D28</f>
        <v>0</v>
      </c>
      <c r="E30" s="130">
        <f>E24+E28</f>
        <v>0</v>
      </c>
      <c r="F30" s="131">
        <f t="shared" si="0"/>
        <v>0</v>
      </c>
    </row>
    <row r="31" spans="1:6" ht="15" customHeight="1" x14ac:dyDescent="0.25">
      <c r="A31" s="117" t="s">
        <v>428</v>
      </c>
      <c r="B31" s="112" t="s">
        <v>427</v>
      </c>
      <c r="C31" s="123">
        <f>SUM(C29:C30)</f>
        <v>2512</v>
      </c>
      <c r="D31" s="123">
        <f>SUM(D29:D30)</f>
        <v>2510</v>
      </c>
      <c r="E31" s="123">
        <f>SUM(E29:E30)</f>
        <v>0</v>
      </c>
      <c r="F31" s="124">
        <f t="shared" si="0"/>
        <v>2510</v>
      </c>
    </row>
    <row r="32" spans="1:6" ht="15" customHeight="1" x14ac:dyDescent="0.25">
      <c r="A32" s="132"/>
      <c r="B32" s="133" t="s">
        <v>429</v>
      </c>
      <c r="C32" s="134">
        <f t="shared" ref="C32:E33" si="1">C29-C59</f>
        <v>-22401</v>
      </c>
      <c r="D32" s="134">
        <f t="shared" si="1"/>
        <v>-25435</v>
      </c>
      <c r="E32" s="134">
        <f t="shared" si="1"/>
        <v>0</v>
      </c>
      <c r="F32" s="135">
        <f t="shared" si="0"/>
        <v>-25435</v>
      </c>
    </row>
    <row r="33" spans="1:7" ht="15" customHeight="1" x14ac:dyDescent="0.25">
      <c r="A33" s="132"/>
      <c r="B33" s="133" t="s">
        <v>430</v>
      </c>
      <c r="C33" s="134">
        <f t="shared" si="1"/>
        <v>-167</v>
      </c>
      <c r="D33" s="134">
        <f t="shared" si="1"/>
        <v>-127</v>
      </c>
      <c r="E33" s="134">
        <f t="shared" si="1"/>
        <v>0</v>
      </c>
      <c r="F33" s="135">
        <f t="shared" si="0"/>
        <v>-127</v>
      </c>
    </row>
    <row r="34" spans="1:7" ht="15" customHeight="1" x14ac:dyDescent="0.25">
      <c r="A34" s="120" t="s">
        <v>434</v>
      </c>
      <c r="B34" s="107" t="s">
        <v>433</v>
      </c>
      <c r="C34" s="107"/>
      <c r="D34" s="126"/>
      <c r="E34" s="126"/>
      <c r="F34" s="127">
        <f t="shared" si="0"/>
        <v>0</v>
      </c>
    </row>
    <row r="35" spans="1:7" ht="15" customHeight="1" x14ac:dyDescent="0.25">
      <c r="A35" s="120" t="s">
        <v>436</v>
      </c>
      <c r="B35" s="115" t="s">
        <v>435</v>
      </c>
      <c r="C35" s="115"/>
      <c r="D35" s="126"/>
      <c r="E35" s="126"/>
      <c r="F35" s="127">
        <f t="shared" si="0"/>
        <v>0</v>
      </c>
    </row>
    <row r="36" spans="1:7" ht="30.75" customHeight="1" x14ac:dyDescent="0.25">
      <c r="A36" s="120" t="s">
        <v>436</v>
      </c>
      <c r="B36" s="115" t="s">
        <v>437</v>
      </c>
      <c r="C36" s="115"/>
      <c r="D36" s="126"/>
      <c r="E36" s="126"/>
      <c r="F36" s="127">
        <f t="shared" si="0"/>
        <v>0</v>
      </c>
    </row>
    <row r="37" spans="1:7" s="54" customFormat="1" ht="15" customHeight="1" x14ac:dyDescent="0.25">
      <c r="A37" s="120" t="s">
        <v>439</v>
      </c>
      <c r="B37" s="115" t="s">
        <v>438</v>
      </c>
      <c r="C37" s="115"/>
      <c r="D37" s="126"/>
      <c r="E37" s="126"/>
      <c r="F37" s="127">
        <f t="shared" si="0"/>
        <v>0</v>
      </c>
    </row>
    <row r="38" spans="1:7" ht="15" customHeight="1" x14ac:dyDescent="0.25">
      <c r="A38" s="136" t="s">
        <v>441</v>
      </c>
      <c r="B38" s="137" t="s">
        <v>440</v>
      </c>
      <c r="C38" s="126">
        <f>'3. Gesz költségvetés'!K33</f>
        <v>22568</v>
      </c>
      <c r="D38" s="126">
        <f>'3. Gesz költségvetés'!L33</f>
        <v>25562</v>
      </c>
      <c r="E38" s="126"/>
      <c r="F38" s="127">
        <f t="shared" si="0"/>
        <v>25562</v>
      </c>
    </row>
    <row r="39" spans="1:7" ht="15" customHeight="1" x14ac:dyDescent="0.25">
      <c r="A39" s="146" t="s">
        <v>449</v>
      </c>
      <c r="B39" s="145" t="s">
        <v>448</v>
      </c>
      <c r="C39" s="123">
        <f>SUM(C34:C38)</f>
        <v>22568</v>
      </c>
      <c r="D39" s="123">
        <f>SUM(D34:D38)</f>
        <v>25562</v>
      </c>
      <c r="E39" s="123">
        <f>SUM(E34:E38)</f>
        <v>0</v>
      </c>
      <c r="F39" s="124">
        <f t="shared" si="0"/>
        <v>25562</v>
      </c>
    </row>
    <row r="40" spans="1:7" ht="17.25" thickBot="1" x14ac:dyDescent="0.3">
      <c r="A40" s="158"/>
      <c r="B40" s="159" t="s">
        <v>362</v>
      </c>
      <c r="C40" s="164">
        <f>C31+C38</f>
        <v>25080</v>
      </c>
      <c r="D40" s="164">
        <f>D31+D38</f>
        <v>28072</v>
      </c>
      <c r="E40" s="164">
        <f>E31+E38</f>
        <v>0</v>
      </c>
      <c r="F40" s="165">
        <f t="shared" si="0"/>
        <v>28072</v>
      </c>
      <c r="G40" s="575"/>
    </row>
    <row r="41" spans="1:7" ht="15" customHeight="1" thickBot="1" x14ac:dyDescent="0.3">
      <c r="A41" s="979"/>
      <c r="B41" s="979"/>
      <c r="C41" s="979"/>
      <c r="D41" s="979"/>
      <c r="E41" s="979"/>
      <c r="F41" s="979"/>
    </row>
    <row r="42" spans="1:7" ht="18.75" customHeight="1" x14ac:dyDescent="0.2">
      <c r="A42" s="1830" t="s">
        <v>370</v>
      </c>
      <c r="B42" s="1832" t="s">
        <v>788</v>
      </c>
      <c r="C42" s="1832" t="s">
        <v>1056</v>
      </c>
      <c r="D42" s="1834" t="s">
        <v>1057</v>
      </c>
      <c r="E42" s="1835"/>
      <c r="F42" s="1836"/>
    </row>
    <row r="43" spans="1:7" ht="49.5" x14ac:dyDescent="0.2">
      <c r="A43" s="1831"/>
      <c r="B43" s="1833"/>
      <c r="C43" s="1833"/>
      <c r="D43" s="1386" t="s">
        <v>159</v>
      </c>
      <c r="E43" s="1386" t="s">
        <v>160</v>
      </c>
      <c r="F43" s="1414" t="s">
        <v>371</v>
      </c>
    </row>
    <row r="44" spans="1:7" ht="15" customHeight="1" x14ac:dyDescent="0.25">
      <c r="A44" s="103" t="s">
        <v>294</v>
      </c>
      <c r="B44" s="104" t="s">
        <v>295</v>
      </c>
      <c r="C44" s="126">
        <f>'3. Gesz költségvetés'!K39</f>
        <v>17291</v>
      </c>
      <c r="D44" s="126">
        <f>'3. Gesz költségvetés'!L39</f>
        <v>19783</v>
      </c>
      <c r="E44" s="126"/>
      <c r="F44" s="127">
        <f>D44+E44</f>
        <v>19783</v>
      </c>
    </row>
    <row r="45" spans="1:7" ht="15" customHeight="1" x14ac:dyDescent="0.25">
      <c r="A45" s="103" t="s">
        <v>296</v>
      </c>
      <c r="B45" s="115" t="s">
        <v>297</v>
      </c>
      <c r="C45" s="126">
        <f>'3. Gesz költségvetés'!K40</f>
        <v>4303</v>
      </c>
      <c r="D45" s="126">
        <f>'3. Gesz költségvetés'!L40</f>
        <v>4178</v>
      </c>
      <c r="E45" s="126"/>
      <c r="F45" s="127">
        <f>D45+E45</f>
        <v>4178</v>
      </c>
    </row>
    <row r="46" spans="1:7" ht="15" customHeight="1" x14ac:dyDescent="0.25">
      <c r="A46" s="103" t="s">
        <v>298</v>
      </c>
      <c r="B46" s="115" t="s">
        <v>299</v>
      </c>
      <c r="C46" s="126">
        <f>'3. Gesz költségvetés'!K41</f>
        <v>3319</v>
      </c>
      <c r="D46" s="126">
        <f>'3. Gesz költségvetés'!L41</f>
        <v>3984</v>
      </c>
      <c r="E46" s="126"/>
      <c r="F46" s="127">
        <f>D46+E46</f>
        <v>3984</v>
      </c>
    </row>
    <row r="47" spans="1:7" ht="15" customHeight="1" x14ac:dyDescent="0.25">
      <c r="A47" s="103" t="s">
        <v>300</v>
      </c>
      <c r="B47" s="107" t="s">
        <v>38</v>
      </c>
      <c r="C47" s="107"/>
      <c r="D47" s="126"/>
      <c r="E47" s="126"/>
      <c r="F47" s="127">
        <f t="shared" ref="F47:F58" si="2">D47+E47</f>
        <v>0</v>
      </c>
    </row>
    <row r="48" spans="1:7" ht="15" customHeight="1" x14ac:dyDescent="0.25">
      <c r="A48" s="103" t="s">
        <v>301</v>
      </c>
      <c r="B48" s="108" t="s">
        <v>302</v>
      </c>
      <c r="C48" s="108"/>
      <c r="D48" s="126"/>
      <c r="E48" s="126"/>
      <c r="F48" s="127">
        <f t="shared" si="2"/>
        <v>0</v>
      </c>
    </row>
    <row r="49" spans="1:6" ht="15" customHeight="1" x14ac:dyDescent="0.25">
      <c r="A49" s="103" t="s">
        <v>304</v>
      </c>
      <c r="B49" s="108" t="s">
        <v>303</v>
      </c>
      <c r="C49" s="108"/>
      <c r="D49" s="126"/>
      <c r="E49" s="126"/>
      <c r="F49" s="127">
        <f t="shared" si="2"/>
        <v>0</v>
      </c>
    </row>
    <row r="50" spans="1:6" ht="15" customHeight="1" x14ac:dyDescent="0.25">
      <c r="A50" s="103" t="s">
        <v>776</v>
      </c>
      <c r="B50" s="109" t="s">
        <v>305</v>
      </c>
      <c r="C50" s="109"/>
      <c r="D50" s="126"/>
      <c r="E50" s="126"/>
      <c r="F50" s="127">
        <f t="shared" si="2"/>
        <v>0</v>
      </c>
    </row>
    <row r="51" spans="1:6" ht="15" customHeight="1" x14ac:dyDescent="0.25">
      <c r="A51" s="103" t="s">
        <v>776</v>
      </c>
      <c r="B51" s="109" t="s">
        <v>163</v>
      </c>
      <c r="C51" s="109"/>
      <c r="D51" s="126"/>
      <c r="E51" s="126"/>
      <c r="F51" s="127">
        <f t="shared" si="2"/>
        <v>0</v>
      </c>
    </row>
    <row r="52" spans="1:6" ht="15" customHeight="1" x14ac:dyDescent="0.25">
      <c r="A52" s="103" t="s">
        <v>776</v>
      </c>
      <c r="B52" s="109" t="s">
        <v>306</v>
      </c>
      <c r="C52" s="109"/>
      <c r="D52" s="126"/>
      <c r="E52" s="126"/>
      <c r="F52" s="127">
        <f t="shared" si="2"/>
        <v>0</v>
      </c>
    </row>
    <row r="53" spans="1:6" ht="15" customHeight="1" x14ac:dyDescent="0.25">
      <c r="A53" s="103" t="s">
        <v>307</v>
      </c>
      <c r="B53" s="107" t="s">
        <v>308</v>
      </c>
      <c r="C53" s="107"/>
      <c r="D53" s="126"/>
      <c r="E53" s="126"/>
      <c r="F53" s="127">
        <f t="shared" si="2"/>
        <v>0</v>
      </c>
    </row>
    <row r="54" spans="1:6" ht="15" customHeight="1" x14ac:dyDescent="0.25">
      <c r="A54" s="103" t="s">
        <v>309</v>
      </c>
      <c r="B54" s="138" t="s">
        <v>452</v>
      </c>
      <c r="C54" s="126">
        <f>'3. Gesz költségvetés'!K48</f>
        <v>167</v>
      </c>
      <c r="D54" s="126">
        <f>'3. Gesz költségvetés'!L48</f>
        <v>127</v>
      </c>
      <c r="E54" s="126"/>
      <c r="F54" s="127">
        <f t="shared" si="2"/>
        <v>127</v>
      </c>
    </row>
    <row r="55" spans="1:6" ht="15" customHeight="1" x14ac:dyDescent="0.25">
      <c r="A55" s="103" t="s">
        <v>310</v>
      </c>
      <c r="B55" s="107" t="s">
        <v>311</v>
      </c>
      <c r="C55" s="107"/>
      <c r="D55" s="126"/>
      <c r="E55" s="126"/>
      <c r="F55" s="127">
        <f t="shared" si="2"/>
        <v>0</v>
      </c>
    </row>
    <row r="56" spans="1:6" ht="15" customHeight="1" x14ac:dyDescent="0.25">
      <c r="A56" s="103" t="s">
        <v>259</v>
      </c>
      <c r="B56" s="107" t="s">
        <v>162</v>
      </c>
      <c r="C56" s="107"/>
      <c r="D56" s="126"/>
      <c r="E56" s="126"/>
      <c r="F56" s="127">
        <f t="shared" si="2"/>
        <v>0</v>
      </c>
    </row>
    <row r="57" spans="1:6" ht="15" customHeight="1" x14ac:dyDescent="0.25">
      <c r="A57" s="103" t="s">
        <v>312</v>
      </c>
      <c r="B57" s="107" t="s">
        <v>313</v>
      </c>
      <c r="C57" s="107"/>
      <c r="D57" s="126"/>
      <c r="E57" s="126"/>
      <c r="F57" s="127">
        <f t="shared" si="2"/>
        <v>0</v>
      </c>
    </row>
    <row r="58" spans="1:6" ht="15" customHeight="1" x14ac:dyDescent="0.25">
      <c r="A58" s="103" t="s">
        <v>314</v>
      </c>
      <c r="B58" s="107" t="s">
        <v>315</v>
      </c>
      <c r="C58" s="107"/>
      <c r="D58" s="126"/>
      <c r="E58" s="126"/>
      <c r="F58" s="127">
        <f t="shared" si="2"/>
        <v>0</v>
      </c>
    </row>
    <row r="59" spans="1:6" ht="15" customHeight="1" x14ac:dyDescent="0.25">
      <c r="A59" s="147"/>
      <c r="B59" s="144" t="s">
        <v>330</v>
      </c>
      <c r="C59" s="156">
        <f>SUM(C44:C53)</f>
        <v>24913</v>
      </c>
      <c r="D59" s="156">
        <f>SUM(D44:D53)</f>
        <v>27945</v>
      </c>
      <c r="E59" s="156">
        <f>SUM(E44:E53)</f>
        <v>0</v>
      </c>
      <c r="F59" s="157">
        <f>SUM(F44:F53)</f>
        <v>27945</v>
      </c>
    </row>
    <row r="60" spans="1:6" ht="15" customHeight="1" x14ac:dyDescent="0.25">
      <c r="A60" s="147"/>
      <c r="B60" s="144" t="s">
        <v>331</v>
      </c>
      <c r="C60" s="156">
        <f>SUM(C54:C58)</f>
        <v>167</v>
      </c>
      <c r="D60" s="156">
        <f>SUM(D54:D58)</f>
        <v>127</v>
      </c>
      <c r="E60" s="156">
        <f>SUM(E54:E58)</f>
        <v>0</v>
      </c>
      <c r="F60" s="157">
        <f>SUM(F54:F58)</f>
        <v>127</v>
      </c>
    </row>
    <row r="61" spans="1:6" ht="15" customHeight="1" x14ac:dyDescent="0.25">
      <c r="A61" s="117" t="s">
        <v>316</v>
      </c>
      <c r="B61" s="112" t="s">
        <v>317</v>
      </c>
      <c r="C61" s="123">
        <f>SUM(C59:C60)</f>
        <v>25080</v>
      </c>
      <c r="D61" s="123">
        <f>SUM(D59:D60)</f>
        <v>28072</v>
      </c>
      <c r="E61" s="123">
        <f>SUM(E59:E60)</f>
        <v>0</v>
      </c>
      <c r="F61" s="124">
        <f>SUM(F59:F60)</f>
        <v>28072</v>
      </c>
    </row>
    <row r="62" spans="1:6" ht="15" customHeight="1" x14ac:dyDescent="0.2">
      <c r="A62" s="120" t="s">
        <v>318</v>
      </c>
      <c r="B62" s="107" t="s">
        <v>260</v>
      </c>
      <c r="C62" s="113"/>
      <c r="D62" s="113"/>
      <c r="E62" s="113"/>
      <c r="F62" s="140"/>
    </row>
    <row r="63" spans="1:6" ht="15" customHeight="1" x14ac:dyDescent="0.2">
      <c r="A63" s="120" t="s">
        <v>332</v>
      </c>
      <c r="B63" s="107" t="s">
        <v>333</v>
      </c>
      <c r="C63" s="141"/>
      <c r="D63" s="141"/>
      <c r="E63" s="141"/>
      <c r="F63" s="142"/>
    </row>
    <row r="64" spans="1:6" ht="15" customHeight="1" x14ac:dyDescent="0.25">
      <c r="A64" s="146" t="s">
        <v>328</v>
      </c>
      <c r="B64" s="145" t="s">
        <v>41</v>
      </c>
      <c r="C64" s="123">
        <f>SUM(C62:C63)</f>
        <v>0</v>
      </c>
      <c r="D64" s="123">
        <f>SUM(D62:D63)</f>
        <v>0</v>
      </c>
      <c r="E64" s="123">
        <f>SUM(E62:E63)</f>
        <v>0</v>
      </c>
      <c r="F64" s="124">
        <f>SUM(F62:F63)</f>
        <v>0</v>
      </c>
    </row>
    <row r="65" spans="1:6" ht="17.25" thickBot="1" x14ac:dyDescent="0.3">
      <c r="A65" s="158"/>
      <c r="B65" s="159" t="s">
        <v>352</v>
      </c>
      <c r="C65" s="164">
        <f>C61+C64</f>
        <v>25080</v>
      </c>
      <c r="D65" s="164">
        <f>D61+D64</f>
        <v>28072</v>
      </c>
      <c r="E65" s="164">
        <f>E61+E64</f>
        <v>0</v>
      </c>
      <c r="F65" s="165">
        <f>F61+F64</f>
        <v>28072</v>
      </c>
    </row>
    <row r="67" spans="1:6" ht="15" customHeight="1" x14ac:dyDescent="0.2">
      <c r="F67" s="575"/>
    </row>
    <row r="68" spans="1:6" ht="15" customHeight="1" x14ac:dyDescent="0.2">
      <c r="F68" s="575"/>
    </row>
  </sheetData>
  <mergeCells count="11">
    <mergeCell ref="A42:A43"/>
    <mergeCell ref="B42:B43"/>
    <mergeCell ref="C42:C43"/>
    <mergeCell ref="D42:F42"/>
    <mergeCell ref="A1:F1"/>
    <mergeCell ref="A2:F2"/>
    <mergeCell ref="A4:F4"/>
    <mergeCell ref="A7:A8"/>
    <mergeCell ref="B7:B8"/>
    <mergeCell ref="C7:C8"/>
    <mergeCell ref="D7:F7"/>
  </mergeCells>
  <pageMargins left="0.75" right="0.75" top="0.28999999999999998" bottom="0.41" header="0.5" footer="0.5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>
    <tabColor rgb="FFFF0000"/>
    <pageSetUpPr fitToPage="1"/>
  </sheetPr>
  <dimension ref="A1:IS59"/>
  <sheetViews>
    <sheetView view="pageBreakPreview" topLeftCell="A5" zoomScale="70" zoomScaleSheetLayoutView="70" workbookViewId="0">
      <selection activeCell="A24" sqref="A24:XFD32"/>
    </sheetView>
  </sheetViews>
  <sheetFormatPr defaultColWidth="16.42578125" defaultRowHeight="18.75" x14ac:dyDescent="0.3"/>
  <cols>
    <col min="1" max="1" width="13.5703125" style="378" bestFit="1" customWidth="1"/>
    <col min="2" max="2" width="95" style="378" customWidth="1"/>
    <col min="3" max="3" width="21.5703125" style="378" hidden="1" customWidth="1"/>
    <col min="4" max="5" width="21.140625" style="378" customWidth="1"/>
    <col min="6" max="6" width="20.7109375" style="378" hidden="1" customWidth="1"/>
    <col min="7" max="7" width="19" style="378" customWidth="1"/>
    <col min="8" max="8" width="18.7109375" style="378" customWidth="1"/>
    <col min="9" max="9" width="19.28515625" style="378" hidden="1" customWidth="1"/>
    <col min="10" max="11" width="19.28515625" style="378" customWidth="1"/>
    <col min="12" max="12" width="19.85546875" style="378" hidden="1" customWidth="1"/>
    <col min="13" max="13" width="16.85546875" style="378" customWidth="1"/>
    <col min="14" max="14" width="17.5703125" style="378" customWidth="1"/>
    <col min="15" max="15" width="19.85546875" style="378" hidden="1" customWidth="1"/>
    <col min="16" max="16" width="18" style="378" customWidth="1"/>
    <col min="17" max="17" width="20.28515625" style="378" customWidth="1"/>
    <col min="18" max="18" width="16.5703125" style="378" hidden="1" customWidth="1"/>
    <col min="19" max="19" width="19.140625" style="378" customWidth="1"/>
    <col min="20" max="20" width="21.42578125" style="378" customWidth="1"/>
    <col min="21" max="256" width="9.140625" style="378" customWidth="1"/>
    <col min="257" max="257" width="92.5703125" style="378" customWidth="1"/>
    <col min="258" max="258" width="9.140625" style="378" customWidth="1"/>
    <col min="259" max="16384" width="16.42578125" style="378"/>
  </cols>
  <sheetData>
    <row r="1" spans="1:20" ht="27.75" customHeight="1" x14ac:dyDescent="0.4">
      <c r="A1" s="1845" t="str">
        <f>Tartalomjegyzék_2018!A1</f>
        <v>Pilisvörösvár Város Önkormányzata Képviselő-testületének 2/2018. (II. 9.) önkormányzati rendelete</v>
      </c>
      <c r="B1" s="1846"/>
      <c r="C1" s="1846"/>
      <c r="D1" s="1846"/>
      <c r="E1" s="1846"/>
      <c r="F1" s="1846"/>
      <c r="G1" s="1846"/>
      <c r="H1" s="1846"/>
      <c r="I1" s="1846"/>
      <c r="J1" s="1846"/>
      <c r="K1" s="1846"/>
      <c r="L1" s="1846"/>
      <c r="M1" s="1846"/>
      <c r="N1" s="1846"/>
      <c r="O1" s="1846"/>
      <c r="P1" s="1846"/>
      <c r="Q1" s="1846"/>
      <c r="R1" s="1846"/>
      <c r="S1" s="1846"/>
      <c r="T1" s="1827"/>
    </row>
    <row r="2" spans="1:20" ht="24" customHeight="1" x14ac:dyDescent="0.4">
      <c r="A2" s="1845" t="str">
        <f>'11. Bölcsöde'!A2:F2</f>
        <v>az Önkormányzat  2018. évi költségvetéséről</v>
      </c>
      <c r="B2" s="1846" t="s">
        <v>158</v>
      </c>
      <c r="C2" s="1846"/>
      <c r="D2" s="1846"/>
      <c r="E2" s="1846"/>
      <c r="F2" s="1846"/>
      <c r="G2" s="1846"/>
      <c r="H2" s="1846"/>
      <c r="I2" s="1846"/>
      <c r="J2" s="1846"/>
      <c r="K2" s="1846"/>
      <c r="L2" s="1846"/>
      <c r="M2" s="1846"/>
      <c r="N2" s="1846"/>
      <c r="O2" s="1846"/>
      <c r="P2" s="1846"/>
      <c r="Q2" s="1846"/>
      <c r="R2" s="1846"/>
      <c r="S2" s="1846"/>
      <c r="T2" s="1827"/>
    </row>
    <row r="3" spans="1:20" ht="23.25" customHeight="1" x14ac:dyDescent="0.4">
      <c r="A3" s="1845" t="str">
        <f>Tartalomjegyzék_2018!B19</f>
        <v>Pilisvörösvár Város Önkormányzata működési és felhalmozási bevételei</v>
      </c>
      <c r="B3" s="1846" t="s">
        <v>368</v>
      </c>
      <c r="C3" s="1846"/>
      <c r="D3" s="1846"/>
      <c r="E3" s="1846"/>
      <c r="F3" s="1846"/>
      <c r="G3" s="1846"/>
      <c r="H3" s="1846"/>
      <c r="I3" s="1846"/>
      <c r="J3" s="1846"/>
      <c r="K3" s="1846"/>
      <c r="L3" s="1846"/>
      <c r="M3" s="1846"/>
      <c r="N3" s="1846"/>
      <c r="O3" s="1846"/>
      <c r="P3" s="1846"/>
      <c r="Q3" s="1846"/>
      <c r="R3" s="1846"/>
      <c r="S3" s="1846"/>
      <c r="T3" s="1827"/>
    </row>
    <row r="4" spans="1:20" ht="23.25" customHeight="1" x14ac:dyDescent="0.4">
      <c r="A4" s="985"/>
      <c r="B4" s="986"/>
      <c r="C4" s="986"/>
      <c r="D4" s="986"/>
      <c r="E4" s="1071"/>
      <c r="F4" s="986"/>
      <c r="G4" s="986"/>
      <c r="H4" s="1071"/>
      <c r="I4" s="986"/>
      <c r="J4" s="986"/>
      <c r="K4" s="1071"/>
      <c r="L4" s="986"/>
      <c r="M4" s="986"/>
      <c r="N4" s="1071"/>
      <c r="O4" s="986"/>
      <c r="P4" s="986"/>
      <c r="Q4" s="1071"/>
      <c r="R4" s="986"/>
      <c r="T4" s="987" t="s">
        <v>812</v>
      </c>
    </row>
    <row r="5" spans="1:20" ht="24" customHeight="1" x14ac:dyDescent="0.4">
      <c r="B5" s="379"/>
      <c r="T5" s="987"/>
    </row>
    <row r="6" spans="1:20" ht="27" thickBot="1" x14ac:dyDescent="0.45">
      <c r="T6" s="987" t="s">
        <v>329</v>
      </c>
    </row>
    <row r="7" spans="1:20" s="380" customFormat="1" ht="129.75" customHeight="1" x14ac:dyDescent="0.2">
      <c r="A7" s="890" t="s">
        <v>370</v>
      </c>
      <c r="B7" s="891" t="s">
        <v>369</v>
      </c>
      <c r="C7" s="892" t="s">
        <v>632</v>
      </c>
      <c r="D7" s="892" t="str">
        <f>'2.Bevételek_részletes'!C7</f>
        <v>Önkormányzat 2017. évi eredeti előirányzat</v>
      </c>
      <c r="E7" s="892" t="str">
        <f>'2.Bevételek_részletes'!D7</f>
        <v>Önkormányzat 2018. évi eredeti előirányzat</v>
      </c>
      <c r="F7" s="1245" t="s">
        <v>633</v>
      </c>
      <c r="G7" s="1261" t="str">
        <f>'2.Bevételek_részletes'!E7</f>
        <v>Polgármesteri Hivatal 2017. évi eredeti előirányzat</v>
      </c>
      <c r="H7" s="1103" t="str">
        <f>'2.Bevételek_részletes'!F7</f>
        <v>Polgármesteri Hivatal 2018. évi eredeti előirányzat</v>
      </c>
      <c r="I7" s="1253" t="s">
        <v>634</v>
      </c>
      <c r="J7" s="892" t="str">
        <f>'2.Bevételek_részletes'!G7</f>
        <v>Szakorvosi Rendelőintézet 2017. évi eredeti előirányzat</v>
      </c>
      <c r="K7" s="892" t="str">
        <f>'2.Bevételek_részletes'!H7</f>
        <v>Szakorvosi Rendelőintézet 2018. évi eredeti előirányzat</v>
      </c>
      <c r="L7" s="1245" t="s">
        <v>635</v>
      </c>
      <c r="M7" s="1261" t="str">
        <f>'2.Bevételek_részletes'!I7</f>
        <v>GESZ és intézményei   2017. évi eredeti előirányzat</v>
      </c>
      <c r="N7" s="1103" t="str">
        <f>'2.Bevételek_részletes'!J7</f>
        <v>GESZ és intézményei   2018. évi eredeti előirányzat</v>
      </c>
      <c r="O7" s="1253" t="s">
        <v>630</v>
      </c>
      <c r="P7" s="892" t="str">
        <f>'2.Bevételek_részletes'!K7</f>
        <v>2017. évi             Eredeti előirányzat Összesen</v>
      </c>
      <c r="Q7" s="1103" t="str">
        <f>'2.Bevételek_részletes'!L7</f>
        <v>2018. évi             Eredeti előirányzat Összesen</v>
      </c>
      <c r="R7" s="1253" t="s">
        <v>631</v>
      </c>
      <c r="S7" s="892" t="str">
        <f>'2.Bevételek_részletes'!M7</f>
        <v>2017. évi            Konszolidált eredeti előirányzat</v>
      </c>
      <c r="T7" s="1103" t="str">
        <f>'2.Bevételek_részletes'!N7</f>
        <v>2018. évi            Konszolidált eredeti előirányzat</v>
      </c>
    </row>
    <row r="8" spans="1:20" ht="24.75" customHeight="1" x14ac:dyDescent="0.4">
      <c r="A8" s="893" t="s">
        <v>373</v>
      </c>
      <c r="B8" s="1212" t="s">
        <v>372</v>
      </c>
      <c r="C8" s="894">
        <v>106309</v>
      </c>
      <c r="D8" s="899">
        <f>('13. Költségvetési támogatások'!$E30)/1000+1</f>
        <v>95612.485000000001</v>
      </c>
      <c r="E8" s="899">
        <f>('13. Költségvetési támogatások'!$F30)/1000+1</f>
        <v>110885.023</v>
      </c>
      <c r="F8" s="1246"/>
      <c r="G8" s="1262"/>
      <c r="H8" s="1227"/>
      <c r="I8" s="1254"/>
      <c r="J8" s="894"/>
      <c r="K8" s="894"/>
      <c r="L8" s="1246"/>
      <c r="M8" s="1262"/>
      <c r="N8" s="1227"/>
      <c r="O8" s="1254">
        <f t="shared" ref="O8:Q12" si="0">C8+F8+I8+L8</f>
        <v>106309</v>
      </c>
      <c r="P8" s="894">
        <f t="shared" si="0"/>
        <v>95612.485000000001</v>
      </c>
      <c r="Q8" s="1227">
        <f t="shared" si="0"/>
        <v>110885.023</v>
      </c>
      <c r="R8" s="1254">
        <f t="shared" ref="R8:T12" si="1">C8+F8+I8+L8</f>
        <v>106309</v>
      </c>
      <c r="S8" s="894">
        <f t="shared" si="1"/>
        <v>95612.485000000001</v>
      </c>
      <c r="T8" s="1227">
        <f t="shared" si="1"/>
        <v>110885.023</v>
      </c>
    </row>
    <row r="9" spans="1:20" ht="24.75" customHeight="1" x14ac:dyDescent="0.4">
      <c r="A9" s="893" t="s">
        <v>375</v>
      </c>
      <c r="B9" s="1213" t="s">
        <v>374</v>
      </c>
      <c r="C9" s="894">
        <v>288189</v>
      </c>
      <c r="D9" s="899">
        <f>('13. Költségvetési támogatások'!$E50)/1000</f>
        <v>299590.01400000002</v>
      </c>
      <c r="E9" s="899">
        <f>('13. Költségvetési támogatások'!$F50)/1000</f>
        <v>310599.68400000001</v>
      </c>
      <c r="F9" s="1246"/>
      <c r="G9" s="1262"/>
      <c r="H9" s="1227"/>
      <c r="I9" s="1254"/>
      <c r="J9" s="894"/>
      <c r="K9" s="894"/>
      <c r="L9" s="1246"/>
      <c r="M9" s="1262"/>
      <c r="N9" s="1227"/>
      <c r="O9" s="1254">
        <f t="shared" si="0"/>
        <v>288189</v>
      </c>
      <c r="P9" s="894">
        <f t="shared" si="0"/>
        <v>299590.01400000002</v>
      </c>
      <c r="Q9" s="1227">
        <f t="shared" si="0"/>
        <v>310599.68400000001</v>
      </c>
      <c r="R9" s="1254">
        <f t="shared" si="1"/>
        <v>288189</v>
      </c>
      <c r="S9" s="894">
        <f t="shared" si="1"/>
        <v>299590.01400000002</v>
      </c>
      <c r="T9" s="1227">
        <f t="shared" si="1"/>
        <v>310599.68400000001</v>
      </c>
    </row>
    <row r="10" spans="1:20" ht="45.75" customHeight="1" x14ac:dyDescent="0.4">
      <c r="A10" s="893" t="s">
        <v>377</v>
      </c>
      <c r="B10" s="1213" t="s">
        <v>376</v>
      </c>
      <c r="C10" s="894">
        <v>178351</v>
      </c>
      <c r="D10" s="899">
        <f>('13. Költségvetési támogatások'!$E75)/1000</f>
        <v>193050.32</v>
      </c>
      <c r="E10" s="899">
        <f>('13. Költségvetési támogatások'!$F75)/1000</f>
        <v>201515.226</v>
      </c>
      <c r="F10" s="1246"/>
      <c r="G10" s="1262"/>
      <c r="H10" s="1227"/>
      <c r="I10" s="1254"/>
      <c r="J10" s="894"/>
      <c r="K10" s="894"/>
      <c r="L10" s="1246"/>
      <c r="M10" s="1262"/>
      <c r="N10" s="1227"/>
      <c r="O10" s="1254">
        <f t="shared" si="0"/>
        <v>178351</v>
      </c>
      <c r="P10" s="894">
        <f t="shared" si="0"/>
        <v>193050.32</v>
      </c>
      <c r="Q10" s="1227">
        <f t="shared" si="0"/>
        <v>201515.226</v>
      </c>
      <c r="R10" s="1254">
        <f t="shared" si="1"/>
        <v>178351</v>
      </c>
      <c r="S10" s="894">
        <f t="shared" si="1"/>
        <v>193050.32</v>
      </c>
      <c r="T10" s="1227">
        <f t="shared" si="1"/>
        <v>201515.226</v>
      </c>
    </row>
    <row r="11" spans="1:20" ht="24.75" customHeight="1" x14ac:dyDescent="0.4">
      <c r="A11" s="893" t="s">
        <v>379</v>
      </c>
      <c r="B11" s="1213" t="s">
        <v>378</v>
      </c>
      <c r="C11" s="894">
        <v>16410</v>
      </c>
      <c r="D11" s="899">
        <f>('13. Költségvetési támogatások'!$E79)/1000</f>
        <v>16439.939999999999</v>
      </c>
      <c r="E11" s="899">
        <f>('13. Költségvetési támogatások'!$F79)/1000</f>
        <v>17497.810000000001</v>
      </c>
      <c r="F11" s="1246"/>
      <c r="G11" s="1262"/>
      <c r="H11" s="1227"/>
      <c r="I11" s="1254"/>
      <c r="J11" s="894"/>
      <c r="K11" s="894"/>
      <c r="L11" s="1246"/>
      <c r="M11" s="1262"/>
      <c r="N11" s="1227"/>
      <c r="O11" s="1254">
        <f t="shared" si="0"/>
        <v>16410</v>
      </c>
      <c r="P11" s="894">
        <f t="shared" si="0"/>
        <v>16439.939999999999</v>
      </c>
      <c r="Q11" s="1227">
        <f t="shared" si="0"/>
        <v>17497.810000000001</v>
      </c>
      <c r="R11" s="1254">
        <f t="shared" si="1"/>
        <v>16410</v>
      </c>
      <c r="S11" s="894">
        <f t="shared" si="1"/>
        <v>16439.939999999999</v>
      </c>
      <c r="T11" s="1227">
        <f t="shared" si="1"/>
        <v>17497.810000000001</v>
      </c>
    </row>
    <row r="12" spans="1:20" ht="40.5" x14ac:dyDescent="0.4">
      <c r="A12" s="893" t="s">
        <v>74</v>
      </c>
      <c r="B12" s="1213" t="s">
        <v>75</v>
      </c>
      <c r="C12" s="895"/>
      <c r="D12" s="895"/>
      <c r="E12" s="895"/>
      <c r="F12" s="1247"/>
      <c r="G12" s="1263"/>
      <c r="H12" s="1228"/>
      <c r="I12" s="1255"/>
      <c r="J12" s="895"/>
      <c r="K12" s="895"/>
      <c r="L12" s="1247"/>
      <c r="M12" s="1263"/>
      <c r="N12" s="1228"/>
      <c r="O12" s="1255">
        <f t="shared" si="0"/>
        <v>0</v>
      </c>
      <c r="P12" s="895">
        <f t="shared" si="0"/>
        <v>0</v>
      </c>
      <c r="Q12" s="1228">
        <f t="shared" si="0"/>
        <v>0</v>
      </c>
      <c r="R12" s="1255">
        <f t="shared" si="1"/>
        <v>0</v>
      </c>
      <c r="S12" s="895">
        <f t="shared" si="1"/>
        <v>0</v>
      </c>
      <c r="T12" s="1228">
        <f t="shared" si="1"/>
        <v>0</v>
      </c>
    </row>
    <row r="13" spans="1:20" ht="24.75" customHeight="1" x14ac:dyDescent="0.35">
      <c r="A13" s="896" t="s">
        <v>381</v>
      </c>
      <c r="B13" s="1215" t="s">
        <v>380</v>
      </c>
      <c r="C13" s="897">
        <f>SUM(C8:C12)+1</f>
        <v>589260</v>
      </c>
      <c r="D13" s="897">
        <f>SUM(D8:D12)-1</f>
        <v>604691.75899999996</v>
      </c>
      <c r="E13" s="897">
        <f>SUM(E8:E12)-1</f>
        <v>640496.74300000002</v>
      </c>
      <c r="F13" s="1248">
        <f t="shared" ref="F13:M13" si="2">SUM(F8:F12)</f>
        <v>0</v>
      </c>
      <c r="G13" s="1264">
        <f t="shared" si="2"/>
        <v>0</v>
      </c>
      <c r="H13" s="1229">
        <f t="shared" ref="H13" si="3">SUM(H8:H12)</f>
        <v>0</v>
      </c>
      <c r="I13" s="1256">
        <f t="shared" si="2"/>
        <v>0</v>
      </c>
      <c r="J13" s="897">
        <f t="shared" si="2"/>
        <v>0</v>
      </c>
      <c r="K13" s="897">
        <f t="shared" ref="K13:L13" si="4">SUM(K8:K12)</f>
        <v>0</v>
      </c>
      <c r="L13" s="1248">
        <f t="shared" si="4"/>
        <v>0</v>
      </c>
      <c r="M13" s="1264">
        <f t="shared" si="2"/>
        <v>0</v>
      </c>
      <c r="N13" s="1229">
        <f t="shared" ref="N13" si="5">SUM(N8:N12)</f>
        <v>0</v>
      </c>
      <c r="O13" s="1256">
        <f>SUM(O8:O12)+1</f>
        <v>589260</v>
      </c>
      <c r="P13" s="897">
        <f>SUM(P8:P12)-1</f>
        <v>604691.75899999996</v>
      </c>
      <c r="Q13" s="897">
        <f>SUM(Q8:Q12)-1</f>
        <v>640496.74300000002</v>
      </c>
      <c r="R13" s="1256">
        <f>SUM(R8:R12)+1</f>
        <v>589260</v>
      </c>
      <c r="S13" s="897">
        <f>SUM(S8:S12)-1</f>
        <v>604691.75899999996</v>
      </c>
      <c r="T13" s="897">
        <f>SUM(T8:T12)-1</f>
        <v>640496.74300000002</v>
      </c>
    </row>
    <row r="14" spans="1:20" ht="51.75" customHeight="1" x14ac:dyDescent="0.4">
      <c r="A14" s="898"/>
      <c r="B14" s="1213" t="s">
        <v>832</v>
      </c>
      <c r="C14" s="899"/>
      <c r="D14" s="899"/>
      <c r="E14" s="899"/>
      <c r="F14" s="1249"/>
      <c r="G14" s="1265"/>
      <c r="H14" s="1230"/>
      <c r="I14" s="1257"/>
      <c r="J14" s="899"/>
      <c r="K14" s="899"/>
      <c r="L14" s="1249"/>
      <c r="M14" s="1265"/>
      <c r="N14" s="1230"/>
      <c r="O14" s="1257"/>
      <c r="P14" s="899">
        <f t="shared" ref="P14" si="6">D14+G14+J14+M14</f>
        <v>0</v>
      </c>
      <c r="Q14" s="1230">
        <f t="shared" ref="Q14" si="7">E14+H14+K14+N14</f>
        <v>0</v>
      </c>
      <c r="R14" s="1257"/>
      <c r="S14" s="899">
        <f t="shared" ref="S14:T17" si="8">D14+G14+J14+M14</f>
        <v>0</v>
      </c>
      <c r="T14" s="1230">
        <f t="shared" si="8"/>
        <v>0</v>
      </c>
    </row>
    <row r="15" spans="1:20" ht="48" customHeight="1" x14ac:dyDescent="0.4">
      <c r="A15" s="898"/>
      <c r="B15" s="1213" t="s">
        <v>1107</v>
      </c>
      <c r="C15" s="899">
        <v>18748</v>
      </c>
      <c r="D15" s="899">
        <v>13206</v>
      </c>
      <c r="E15" s="899">
        <f>($D29*$D28*$D31*$D30)*1.0975/1000+3500</f>
        <v>10747.813174999999</v>
      </c>
      <c r="F15" s="1249"/>
      <c r="G15" s="1265"/>
      <c r="H15" s="1230"/>
      <c r="I15" s="1257"/>
      <c r="J15" s="899"/>
      <c r="K15" s="899"/>
      <c r="L15" s="1249"/>
      <c r="M15" s="1265"/>
      <c r="N15" s="1230"/>
      <c r="O15" s="1257">
        <f t="shared" ref="O15:Q17" si="9">C15+F15+I15+L15</f>
        <v>18748</v>
      </c>
      <c r="P15" s="899">
        <f t="shared" si="9"/>
        <v>13206</v>
      </c>
      <c r="Q15" s="1230">
        <f t="shared" si="9"/>
        <v>10747.813174999999</v>
      </c>
      <c r="R15" s="1257">
        <f>C15+F15+I15+L15</f>
        <v>18748</v>
      </c>
      <c r="S15" s="899">
        <f t="shared" si="8"/>
        <v>13206</v>
      </c>
      <c r="T15" s="1230">
        <f t="shared" si="8"/>
        <v>10747.813174999999</v>
      </c>
    </row>
    <row r="16" spans="1:20" ht="51.75" customHeight="1" x14ac:dyDescent="0.4">
      <c r="A16" s="898"/>
      <c r="B16" s="1214" t="s">
        <v>938</v>
      </c>
      <c r="C16" s="900"/>
      <c r="D16" s="899"/>
      <c r="E16" s="899"/>
      <c r="F16" s="1250"/>
      <c r="G16" s="1266"/>
      <c r="H16" s="1231"/>
      <c r="I16" s="1258">
        <v>256000</v>
      </c>
      <c r="J16" s="900">
        <f>'2.Bevételek_részletes'!G9</f>
        <v>262500</v>
      </c>
      <c r="K16" s="900">
        <v>295500</v>
      </c>
      <c r="L16" s="1250" t="e">
        <f>'2.Bevételek_részletes'!#REF!</f>
        <v>#REF!</v>
      </c>
      <c r="M16" s="1266"/>
      <c r="N16" s="1231"/>
      <c r="O16" s="1258" t="e">
        <f t="shared" si="9"/>
        <v>#REF!</v>
      </c>
      <c r="P16" s="900">
        <f t="shared" si="9"/>
        <v>262500</v>
      </c>
      <c r="Q16" s="1231">
        <f t="shared" si="9"/>
        <v>295500</v>
      </c>
      <c r="R16" s="1258" t="e">
        <f>C16+F16+I16+L16</f>
        <v>#REF!</v>
      </c>
      <c r="S16" s="900">
        <f t="shared" si="8"/>
        <v>262500</v>
      </c>
      <c r="T16" s="1231">
        <f t="shared" si="8"/>
        <v>295500</v>
      </c>
    </row>
    <row r="17" spans="1:253" s="381" customFormat="1" ht="27.75" customHeight="1" x14ac:dyDescent="0.4">
      <c r="A17" s="1104" t="s">
        <v>383</v>
      </c>
      <c r="B17" s="1214" t="s">
        <v>382</v>
      </c>
      <c r="C17" s="900">
        <f>SUM(C15:C16)</f>
        <v>18748</v>
      </c>
      <c r="D17" s="900">
        <f>SUM(D14:D16)</f>
        <v>13206</v>
      </c>
      <c r="E17" s="900">
        <f>SUM(E14:E16)</f>
        <v>10747.813174999999</v>
      </c>
      <c r="F17" s="1250">
        <f t="shared" ref="F17:N17" si="10">SUM(F15:F16)</f>
        <v>0</v>
      </c>
      <c r="G17" s="1266">
        <f t="shared" si="10"/>
        <v>0</v>
      </c>
      <c r="H17" s="1231">
        <f t="shared" si="10"/>
        <v>0</v>
      </c>
      <c r="I17" s="1258">
        <f t="shared" si="10"/>
        <v>256000</v>
      </c>
      <c r="J17" s="900">
        <f t="shared" si="10"/>
        <v>262500</v>
      </c>
      <c r="K17" s="900">
        <f t="shared" si="10"/>
        <v>295500</v>
      </c>
      <c r="L17" s="1250" t="e">
        <f t="shared" si="10"/>
        <v>#REF!</v>
      </c>
      <c r="M17" s="1266">
        <f t="shared" si="10"/>
        <v>0</v>
      </c>
      <c r="N17" s="1231">
        <f t="shared" si="10"/>
        <v>0</v>
      </c>
      <c r="O17" s="1258" t="e">
        <f t="shared" si="9"/>
        <v>#REF!</v>
      </c>
      <c r="P17" s="900">
        <f t="shared" si="9"/>
        <v>275706</v>
      </c>
      <c r="Q17" s="1231">
        <f>E17+H17+K17+N17</f>
        <v>306247.81317500002</v>
      </c>
      <c r="R17" s="1258" t="e">
        <f>C17+F17+I17+L17</f>
        <v>#REF!</v>
      </c>
      <c r="S17" s="900">
        <f t="shared" si="8"/>
        <v>275706</v>
      </c>
      <c r="T17" s="1231">
        <f t="shared" si="8"/>
        <v>306247.81317500002</v>
      </c>
    </row>
    <row r="18" spans="1:253" ht="24.75" customHeight="1" x14ac:dyDescent="0.35">
      <c r="A18" s="1105" t="s">
        <v>385</v>
      </c>
      <c r="B18" s="1216" t="s">
        <v>384</v>
      </c>
      <c r="C18" s="1106">
        <f t="shared" ref="C18:T18" si="11">C13+C17</f>
        <v>608008</v>
      </c>
      <c r="D18" s="1106">
        <f t="shared" si="11"/>
        <v>617897.75899999996</v>
      </c>
      <c r="E18" s="1106">
        <f t="shared" si="11"/>
        <v>651244.55617500003</v>
      </c>
      <c r="F18" s="1251">
        <f t="shared" si="11"/>
        <v>0</v>
      </c>
      <c r="G18" s="1267">
        <f t="shared" si="11"/>
        <v>0</v>
      </c>
      <c r="H18" s="1232">
        <f t="shared" si="11"/>
        <v>0</v>
      </c>
      <c r="I18" s="1259">
        <f t="shared" si="11"/>
        <v>256000</v>
      </c>
      <c r="J18" s="1106">
        <f t="shared" si="11"/>
        <v>262500</v>
      </c>
      <c r="K18" s="1106">
        <f t="shared" ref="K18" si="12">K13+K17</f>
        <v>295500</v>
      </c>
      <c r="L18" s="1251" t="e">
        <f t="shared" si="11"/>
        <v>#REF!</v>
      </c>
      <c r="M18" s="1267">
        <f t="shared" si="11"/>
        <v>0</v>
      </c>
      <c r="N18" s="1232">
        <f t="shared" si="11"/>
        <v>0</v>
      </c>
      <c r="O18" s="1259" t="e">
        <f t="shared" si="11"/>
        <v>#REF!</v>
      </c>
      <c r="P18" s="1106">
        <f t="shared" si="11"/>
        <v>880397.75899999996</v>
      </c>
      <c r="Q18" s="1232">
        <f t="shared" si="11"/>
        <v>946744.55617500003</v>
      </c>
      <c r="R18" s="1259" t="e">
        <f t="shared" si="11"/>
        <v>#REF!</v>
      </c>
      <c r="S18" s="1106">
        <f t="shared" si="11"/>
        <v>880397.75899999996</v>
      </c>
      <c r="T18" s="1232">
        <f t="shared" si="11"/>
        <v>946744.55617500003</v>
      </c>
    </row>
    <row r="19" spans="1:253" ht="24.75" customHeight="1" x14ac:dyDescent="0.4">
      <c r="A19" s="893" t="s">
        <v>387</v>
      </c>
      <c r="B19" s="1213" t="s">
        <v>770</v>
      </c>
      <c r="C19" s="899"/>
      <c r="D19" s="899"/>
      <c r="E19" s="899"/>
      <c r="F19" s="1249"/>
      <c r="G19" s="1265"/>
      <c r="H19" s="1230"/>
      <c r="I19" s="1257"/>
      <c r="J19" s="899"/>
      <c r="K19" s="385"/>
      <c r="L19" s="1249"/>
      <c r="M19" s="1265"/>
      <c r="N19" s="1230"/>
      <c r="O19" s="1257">
        <f>C19+F19+I19+L19</f>
        <v>0</v>
      </c>
      <c r="P19" s="899">
        <f>D19+G19+J19+M19</f>
        <v>0</v>
      </c>
      <c r="Q19" s="1230">
        <f>E19+H19+K19+N19</f>
        <v>0</v>
      </c>
      <c r="R19" s="1257">
        <f t="shared" ref="R19:T20" si="13">C19+F19+I19+L19</f>
        <v>0</v>
      </c>
      <c r="S19" s="899">
        <f t="shared" si="13"/>
        <v>0</v>
      </c>
      <c r="T19" s="1230">
        <f t="shared" si="13"/>
        <v>0</v>
      </c>
    </row>
    <row r="20" spans="1:253" ht="24.75" customHeight="1" x14ac:dyDescent="0.4">
      <c r="A20" s="893" t="s">
        <v>387</v>
      </c>
      <c r="B20" s="1213" t="s">
        <v>386</v>
      </c>
      <c r="C20" s="899"/>
      <c r="D20" s="899"/>
      <c r="E20" s="899"/>
      <c r="F20" s="1249"/>
      <c r="G20" s="1265"/>
      <c r="H20" s="1230"/>
      <c r="I20" s="1257"/>
      <c r="J20" s="899"/>
      <c r="K20" s="899"/>
      <c r="L20" s="1249"/>
      <c r="M20" s="1265"/>
      <c r="N20" s="1230"/>
      <c r="O20" s="1257"/>
      <c r="P20" s="899">
        <f>D20+G20+J20+M20</f>
        <v>0</v>
      </c>
      <c r="Q20" s="1230">
        <f>E20+H20+K20+N20</f>
        <v>0</v>
      </c>
      <c r="R20" s="1257">
        <f t="shared" si="13"/>
        <v>0</v>
      </c>
      <c r="S20" s="899">
        <f t="shared" si="13"/>
        <v>0</v>
      </c>
      <c r="T20" s="1230">
        <f t="shared" si="13"/>
        <v>0</v>
      </c>
    </row>
    <row r="21" spans="1:253" s="385" customFormat="1" ht="24.75" customHeight="1" x14ac:dyDescent="0.35">
      <c r="A21" s="1105" t="s">
        <v>389</v>
      </c>
      <c r="B21" s="1216" t="s">
        <v>388</v>
      </c>
      <c r="C21" s="1106">
        <f t="shared" ref="C21:I21" si="14">SUM(C19:C19)</f>
        <v>0</v>
      </c>
      <c r="D21" s="1106">
        <f t="shared" ref="D21:E21" si="15">SUM(D19:D19)</f>
        <v>0</v>
      </c>
      <c r="E21" s="1106">
        <f t="shared" si="15"/>
        <v>0</v>
      </c>
      <c r="F21" s="1251">
        <f t="shared" si="14"/>
        <v>0</v>
      </c>
      <c r="G21" s="1267">
        <f t="shared" ref="G21:H21" si="16">SUM(G19:G19)</f>
        <v>0</v>
      </c>
      <c r="H21" s="1232">
        <f t="shared" si="16"/>
        <v>0</v>
      </c>
      <c r="I21" s="1259">
        <f t="shared" si="14"/>
        <v>0</v>
      </c>
      <c r="J21" s="1106">
        <f t="shared" ref="J21:L21" si="17">SUM(J19:J19)</f>
        <v>0</v>
      </c>
      <c r="K21" s="1106">
        <f>SUM(K20:K20)</f>
        <v>0</v>
      </c>
      <c r="L21" s="1251">
        <f t="shared" si="17"/>
        <v>0</v>
      </c>
      <c r="M21" s="1267">
        <f t="shared" ref="M21:N21" si="18">SUM(M19:M19)</f>
        <v>0</v>
      </c>
      <c r="N21" s="1232">
        <f t="shared" si="18"/>
        <v>0</v>
      </c>
      <c r="O21" s="1259">
        <f t="shared" ref="O21" si="19">SUM(O19:O19)</f>
        <v>0</v>
      </c>
      <c r="P21" s="1106">
        <f>SUM(P19:P20)</f>
        <v>0</v>
      </c>
      <c r="Q21" s="1232">
        <f t="shared" ref="Q21:T21" si="20">SUM(Q19:Q20)</f>
        <v>0</v>
      </c>
      <c r="R21" s="1259">
        <f t="shared" si="20"/>
        <v>0</v>
      </c>
      <c r="S21" s="1106">
        <f t="shared" si="20"/>
        <v>0</v>
      </c>
      <c r="T21" s="1232">
        <f t="shared" si="20"/>
        <v>0</v>
      </c>
      <c r="U21" s="384"/>
      <c r="V21" s="384"/>
      <c r="W21" s="384"/>
      <c r="X21" s="384"/>
      <c r="Y21" s="384"/>
      <c r="Z21" s="382"/>
      <c r="AA21" s="383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2"/>
      <c r="AO21" s="383"/>
      <c r="AP21" s="384"/>
      <c r="AQ21" s="384"/>
      <c r="AR21" s="384"/>
      <c r="AS21" s="384"/>
      <c r="AT21" s="384"/>
      <c r="AU21" s="384"/>
      <c r="AV21" s="384"/>
      <c r="AW21" s="384"/>
      <c r="AX21" s="384"/>
      <c r="AY21" s="384"/>
      <c r="AZ21" s="384"/>
      <c r="BA21" s="384"/>
      <c r="BB21" s="382"/>
      <c r="BC21" s="383"/>
      <c r="BD21" s="384"/>
      <c r="BE21" s="384"/>
      <c r="BF21" s="384"/>
      <c r="BG21" s="384"/>
      <c r="BH21" s="384"/>
      <c r="BI21" s="384"/>
      <c r="BJ21" s="384"/>
      <c r="BK21" s="384"/>
      <c r="BL21" s="384"/>
      <c r="BM21" s="384"/>
      <c r="BN21" s="384"/>
      <c r="BO21" s="384"/>
      <c r="BP21" s="382"/>
      <c r="BQ21" s="383"/>
      <c r="BR21" s="384"/>
      <c r="BS21" s="384"/>
      <c r="BT21" s="384"/>
      <c r="BU21" s="384"/>
      <c r="BV21" s="384"/>
      <c r="BW21" s="384"/>
      <c r="BX21" s="384"/>
      <c r="BY21" s="384"/>
      <c r="BZ21" s="384"/>
      <c r="CA21" s="384"/>
      <c r="CB21" s="384"/>
      <c r="CC21" s="384"/>
      <c r="CD21" s="382"/>
      <c r="CE21" s="383"/>
      <c r="CF21" s="384"/>
      <c r="CG21" s="384"/>
      <c r="CH21" s="384"/>
      <c r="CI21" s="384"/>
      <c r="CJ21" s="384"/>
      <c r="CK21" s="384"/>
      <c r="CL21" s="384"/>
      <c r="CM21" s="384"/>
      <c r="CN21" s="384"/>
      <c r="CO21" s="384"/>
      <c r="CP21" s="384"/>
      <c r="CQ21" s="384"/>
      <c r="CR21" s="382"/>
      <c r="CS21" s="383"/>
      <c r="CT21" s="384"/>
      <c r="CU21" s="384"/>
      <c r="CV21" s="384"/>
      <c r="CW21" s="384"/>
      <c r="CX21" s="384"/>
      <c r="CY21" s="384"/>
      <c r="CZ21" s="384"/>
      <c r="DA21" s="384"/>
      <c r="DB21" s="384"/>
      <c r="DC21" s="384"/>
      <c r="DD21" s="384"/>
      <c r="DE21" s="384"/>
      <c r="DF21" s="382"/>
      <c r="DG21" s="383"/>
      <c r="DH21" s="384"/>
      <c r="DI21" s="384"/>
      <c r="DJ21" s="384"/>
      <c r="DK21" s="384"/>
      <c r="DL21" s="384"/>
      <c r="DM21" s="384"/>
      <c r="DN21" s="384"/>
      <c r="DO21" s="384"/>
      <c r="DP21" s="384"/>
      <c r="DQ21" s="384"/>
      <c r="DR21" s="384"/>
      <c r="DS21" s="384"/>
      <c r="DT21" s="382"/>
      <c r="DU21" s="383"/>
      <c r="DV21" s="384"/>
      <c r="DW21" s="384"/>
      <c r="DX21" s="384"/>
      <c r="DY21" s="384"/>
      <c r="DZ21" s="384"/>
      <c r="EA21" s="384"/>
      <c r="EB21" s="384"/>
      <c r="EC21" s="384"/>
      <c r="ED21" s="384"/>
      <c r="EE21" s="384"/>
      <c r="EF21" s="384"/>
      <c r="EG21" s="384"/>
      <c r="EH21" s="382"/>
      <c r="EI21" s="383"/>
      <c r="EJ21" s="384"/>
      <c r="EK21" s="384"/>
      <c r="EL21" s="384"/>
      <c r="EM21" s="384"/>
      <c r="EN21" s="384"/>
      <c r="EO21" s="384"/>
      <c r="EP21" s="384"/>
      <c r="EQ21" s="384"/>
      <c r="ER21" s="384"/>
      <c r="ES21" s="384"/>
      <c r="ET21" s="384"/>
      <c r="EU21" s="384"/>
      <c r="EV21" s="382"/>
      <c r="EW21" s="383"/>
      <c r="EX21" s="384"/>
      <c r="EY21" s="384"/>
      <c r="EZ21" s="384"/>
      <c r="FA21" s="384"/>
      <c r="FB21" s="384"/>
      <c r="FC21" s="384"/>
      <c r="FD21" s="384"/>
      <c r="FE21" s="384"/>
      <c r="FF21" s="384"/>
      <c r="FG21" s="384"/>
      <c r="FH21" s="384"/>
      <c r="FI21" s="384"/>
      <c r="FJ21" s="382"/>
      <c r="FK21" s="383"/>
      <c r="FL21" s="384"/>
      <c r="FM21" s="384"/>
      <c r="FN21" s="384"/>
      <c r="FO21" s="384"/>
      <c r="FP21" s="384"/>
      <c r="FQ21" s="384"/>
      <c r="FR21" s="384"/>
      <c r="FS21" s="384"/>
      <c r="FT21" s="384"/>
      <c r="FU21" s="384"/>
      <c r="FV21" s="384"/>
      <c r="FW21" s="384"/>
      <c r="FX21" s="382"/>
      <c r="FY21" s="383"/>
      <c r="FZ21" s="384"/>
      <c r="GA21" s="384"/>
      <c r="GB21" s="384"/>
      <c r="GC21" s="384"/>
      <c r="GD21" s="384"/>
      <c r="GE21" s="384"/>
      <c r="GF21" s="384"/>
      <c r="GG21" s="384"/>
      <c r="GH21" s="384"/>
      <c r="GI21" s="384"/>
      <c r="GJ21" s="384"/>
      <c r="GK21" s="384"/>
      <c r="GL21" s="382"/>
      <c r="GM21" s="383"/>
      <c r="GN21" s="384"/>
      <c r="GO21" s="384"/>
      <c r="GP21" s="384"/>
      <c r="GQ21" s="384"/>
      <c r="GR21" s="384"/>
      <c r="GS21" s="384"/>
      <c r="GT21" s="384"/>
      <c r="GU21" s="384"/>
      <c r="GV21" s="384"/>
      <c r="GW21" s="384"/>
      <c r="GX21" s="384"/>
      <c r="GY21" s="384"/>
      <c r="GZ21" s="382"/>
      <c r="HA21" s="383"/>
      <c r="HB21" s="384"/>
      <c r="HC21" s="384"/>
      <c r="HD21" s="384"/>
      <c r="HE21" s="384"/>
      <c r="HF21" s="384"/>
      <c r="HG21" s="384"/>
      <c r="HH21" s="384"/>
      <c r="HI21" s="384"/>
      <c r="HJ21" s="384"/>
      <c r="HK21" s="384"/>
      <c r="HL21" s="384"/>
      <c r="HM21" s="384"/>
      <c r="HN21" s="382"/>
      <c r="HO21" s="383"/>
      <c r="HP21" s="384"/>
      <c r="HQ21" s="384"/>
      <c r="HR21" s="384"/>
      <c r="HS21" s="384"/>
      <c r="HT21" s="384"/>
      <c r="HU21" s="384"/>
      <c r="HV21" s="384"/>
      <c r="HW21" s="384"/>
      <c r="HX21" s="384"/>
      <c r="HY21" s="384"/>
      <c r="HZ21" s="384"/>
      <c r="IA21" s="384"/>
      <c r="IB21" s="382"/>
      <c r="IC21" s="383"/>
      <c r="ID21" s="384"/>
      <c r="IE21" s="384"/>
      <c r="IF21" s="384"/>
      <c r="IG21" s="384"/>
      <c r="IH21" s="384"/>
      <c r="II21" s="384"/>
      <c r="IJ21" s="384"/>
      <c r="IK21" s="384"/>
      <c r="IL21" s="384"/>
      <c r="IM21" s="384"/>
      <c r="IN21" s="384"/>
      <c r="IO21" s="384"/>
      <c r="IP21" s="382"/>
      <c r="IQ21" s="383"/>
      <c r="IR21" s="384"/>
      <c r="IS21" s="384"/>
    </row>
    <row r="22" spans="1:253" s="379" customFormat="1" ht="24.75" customHeight="1" thickBot="1" x14ac:dyDescent="0.4">
      <c r="A22" s="1107" t="s">
        <v>148</v>
      </c>
      <c r="B22" s="1217" t="s">
        <v>147</v>
      </c>
      <c r="C22" s="1108">
        <f>C18+C21</f>
        <v>608008</v>
      </c>
      <c r="D22" s="1108">
        <f>D18+D21</f>
        <v>617897.75899999996</v>
      </c>
      <c r="E22" s="1108">
        <f>E18+E21</f>
        <v>651244.55617500003</v>
      </c>
      <c r="F22" s="1252">
        <f t="shared" ref="F22:I22" si="21">+F18+F21</f>
        <v>0</v>
      </c>
      <c r="G22" s="1268">
        <f t="shared" ref="G22:H22" si="22">+G18+G21</f>
        <v>0</v>
      </c>
      <c r="H22" s="1233">
        <f t="shared" si="22"/>
        <v>0</v>
      </c>
      <c r="I22" s="1260">
        <f t="shared" si="21"/>
        <v>256000</v>
      </c>
      <c r="J22" s="1108">
        <f t="shared" ref="J22:L22" si="23">+J18+J21</f>
        <v>262500</v>
      </c>
      <c r="K22" s="1108">
        <f t="shared" si="23"/>
        <v>295500</v>
      </c>
      <c r="L22" s="1252" t="e">
        <f t="shared" si="23"/>
        <v>#REF!</v>
      </c>
      <c r="M22" s="1268">
        <f t="shared" ref="M22:N22" si="24">+M18+M21</f>
        <v>0</v>
      </c>
      <c r="N22" s="1233">
        <f t="shared" si="24"/>
        <v>0</v>
      </c>
      <c r="O22" s="1260" t="e">
        <f t="shared" ref="O22:S22" si="25">O18+O21</f>
        <v>#REF!</v>
      </c>
      <c r="P22" s="1108">
        <f t="shared" si="25"/>
        <v>880397.75899999996</v>
      </c>
      <c r="Q22" s="1233">
        <f t="shared" ref="Q22" si="26">Q18+Q21</f>
        <v>946744.55617500003</v>
      </c>
      <c r="R22" s="1260" t="e">
        <f t="shared" si="25"/>
        <v>#REF!</v>
      </c>
      <c r="S22" s="1108">
        <f t="shared" si="25"/>
        <v>880397.75899999996</v>
      </c>
      <c r="T22" s="1233">
        <f t="shared" ref="T22" si="27">T18+T21</f>
        <v>946744.55617500003</v>
      </c>
    </row>
    <row r="23" spans="1:253" ht="19.5" customHeight="1" x14ac:dyDescent="0.3">
      <c r="A23" s="319"/>
      <c r="B23" s="320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</row>
    <row r="24" spans="1:253" hidden="1" x14ac:dyDescent="0.3">
      <c r="A24" s="321"/>
      <c r="B24" s="322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</row>
    <row r="25" spans="1:253" hidden="1" x14ac:dyDescent="0.3">
      <c r="A25" s="319"/>
      <c r="B25" s="323"/>
      <c r="C25" s="323"/>
      <c r="D25" s="388">
        <v>1663703.446</v>
      </c>
      <c r="E25" s="385">
        <v>0</v>
      </c>
      <c r="F25" s="385"/>
      <c r="G25" s="385"/>
      <c r="H25" s="385">
        <v>0</v>
      </c>
      <c r="I25" s="385"/>
      <c r="J25" s="385">
        <v>253175</v>
      </c>
      <c r="K25" s="385"/>
      <c r="L25" s="385"/>
      <c r="M25" s="385">
        <v>255150</v>
      </c>
      <c r="N25" s="385">
        <v>0</v>
      </c>
      <c r="O25" s="385"/>
      <c r="P25" s="385"/>
      <c r="Q25" s="385">
        <v>1637599</v>
      </c>
      <c r="R25" s="385"/>
      <c r="S25" s="385"/>
    </row>
    <row r="26" spans="1:253" hidden="1" x14ac:dyDescent="0.3">
      <c r="A26" s="319"/>
      <c r="B26" s="323"/>
      <c r="C26" s="323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</row>
    <row r="27" spans="1:253" ht="20.25" hidden="1" x14ac:dyDescent="0.3">
      <c r="A27" s="319"/>
      <c r="B27" s="323"/>
      <c r="C27" s="323"/>
      <c r="D27" s="394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</row>
    <row r="28" spans="1:253" ht="20.25" hidden="1" x14ac:dyDescent="0.3">
      <c r="A28" s="1852" t="s">
        <v>707</v>
      </c>
      <c r="B28" s="1853"/>
      <c r="C28" s="1436"/>
      <c r="D28" s="394">
        <v>81530</v>
      </c>
      <c r="E28" s="458" t="s">
        <v>711</v>
      </c>
      <c r="F28" s="458"/>
      <c r="G28" s="458"/>
      <c r="H28" s="457">
        <f>79155/105000</f>
        <v>0.75385714285714289</v>
      </c>
      <c r="I28" s="1076"/>
      <c r="J28" s="1849" t="s">
        <v>712</v>
      </c>
      <c r="K28" s="1850"/>
      <c r="L28" s="1850"/>
      <c r="M28" s="1851"/>
      <c r="N28" s="394">
        <f>111000*H28</f>
        <v>83678.142857142855</v>
      </c>
      <c r="O28" s="713"/>
      <c r="P28" s="713"/>
      <c r="Q28" s="385"/>
      <c r="R28" s="385"/>
      <c r="S28" s="385"/>
    </row>
    <row r="29" spans="1:253" ht="20.25" hidden="1" x14ac:dyDescent="0.3">
      <c r="A29" s="1847" t="s">
        <v>708</v>
      </c>
      <c r="B29" s="1848"/>
      <c r="C29" s="1435"/>
      <c r="D29" s="394">
        <v>9</v>
      </c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</row>
    <row r="30" spans="1:253" ht="20.25" hidden="1" x14ac:dyDescent="0.3">
      <c r="A30" s="1847" t="s">
        <v>709</v>
      </c>
      <c r="B30" s="1848"/>
      <c r="C30" s="1435"/>
      <c r="D30" s="456">
        <v>0.75</v>
      </c>
      <c r="E30" s="394"/>
      <c r="F30" s="713"/>
      <c r="G30" s="713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</row>
    <row r="31" spans="1:253" ht="18.75" hidden="1" customHeight="1" x14ac:dyDescent="0.3">
      <c r="A31" s="1847" t="s">
        <v>710</v>
      </c>
      <c r="B31" s="1848"/>
      <c r="C31" s="1434"/>
      <c r="D31" s="385">
        <v>12</v>
      </c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</row>
    <row r="32" spans="1:253" hidden="1" x14ac:dyDescent="0.3">
      <c r="A32" s="319"/>
      <c r="B32" s="323"/>
      <c r="C32" s="323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</row>
    <row r="33" spans="1:18" x14ac:dyDescent="0.3">
      <c r="A33" s="319"/>
      <c r="B33" s="323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</row>
    <row r="34" spans="1:18" x14ac:dyDescent="0.3">
      <c r="A34" s="319"/>
      <c r="B34" s="323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</row>
    <row r="35" spans="1:18" x14ac:dyDescent="0.3">
      <c r="A35" s="321"/>
      <c r="B35" s="324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</row>
    <row r="36" spans="1:18" x14ac:dyDescent="0.3">
      <c r="A36" s="319"/>
      <c r="B36" s="323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</row>
    <row r="37" spans="1:18" x14ac:dyDescent="0.3">
      <c r="A37" s="319"/>
      <c r="B37" s="323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</row>
    <row r="38" spans="1:18" x14ac:dyDescent="0.3">
      <c r="A38" s="321"/>
      <c r="B38" s="322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</row>
    <row r="39" spans="1:18" x14ac:dyDescent="0.3">
      <c r="A39" s="319"/>
      <c r="B39" s="323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</row>
    <row r="40" spans="1:18" x14ac:dyDescent="0.3">
      <c r="A40" s="321"/>
      <c r="B40" s="322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</row>
    <row r="41" spans="1:18" ht="17.25" customHeight="1" x14ac:dyDescent="0.3">
      <c r="A41" s="319"/>
      <c r="B41" s="320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</row>
    <row r="42" spans="1:18" x14ac:dyDescent="0.3">
      <c r="A42" s="319"/>
      <c r="B42" s="323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</row>
    <row r="43" spans="1:18" x14ac:dyDescent="0.3">
      <c r="A43" s="321"/>
      <c r="B43" s="322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</row>
    <row r="44" spans="1:18" x14ac:dyDescent="0.3">
      <c r="A44" s="325"/>
      <c r="B44" s="326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</row>
    <row r="45" spans="1:18" x14ac:dyDescent="0.3">
      <c r="A45" s="327"/>
      <c r="B45" s="751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</row>
    <row r="46" spans="1:18" x14ac:dyDescent="0.3">
      <c r="A46" s="327"/>
      <c r="B46" s="751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85"/>
    </row>
    <row r="47" spans="1:18" x14ac:dyDescent="0.3">
      <c r="A47" s="320"/>
      <c r="B47" s="323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</row>
    <row r="48" spans="1:18" x14ac:dyDescent="0.3">
      <c r="A48" s="322"/>
      <c r="B48" s="324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</row>
    <row r="49" spans="1:18" x14ac:dyDescent="0.3">
      <c r="A49" s="320"/>
      <c r="B49" s="320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</row>
    <row r="50" spans="1:18" x14ac:dyDescent="0.3">
      <c r="A50" s="320"/>
      <c r="B50" s="320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</row>
    <row r="51" spans="1:18" x14ac:dyDescent="0.3">
      <c r="A51" s="322"/>
      <c r="B51" s="322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</row>
    <row r="52" spans="1:18" x14ac:dyDescent="0.3">
      <c r="A52" s="320"/>
      <c r="B52" s="328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</row>
    <row r="53" spans="1:18" x14ac:dyDescent="0.3">
      <c r="A53" s="320"/>
      <c r="B53" s="328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</row>
    <row r="54" spans="1:18" x14ac:dyDescent="0.3">
      <c r="A54" s="320"/>
      <c r="B54" s="323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</row>
    <row r="55" spans="1:18" x14ac:dyDescent="0.3">
      <c r="A55" s="322"/>
      <c r="B55" s="324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</row>
    <row r="56" spans="1:18" x14ac:dyDescent="0.3">
      <c r="A56" s="322"/>
      <c r="B56" s="324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</row>
    <row r="57" spans="1:18" x14ac:dyDescent="0.3">
      <c r="A57" s="329"/>
      <c r="B57" s="330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</row>
    <row r="58" spans="1:18" x14ac:dyDescent="0.3">
      <c r="A58" s="331"/>
      <c r="B58" s="332"/>
      <c r="C58" s="333"/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</row>
    <row r="59" spans="1:18" x14ac:dyDescent="0.3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</row>
  </sheetData>
  <mergeCells count="8">
    <mergeCell ref="A1:T1"/>
    <mergeCell ref="A2:T2"/>
    <mergeCell ref="A3:T3"/>
    <mergeCell ref="A31:B31"/>
    <mergeCell ref="J28:M28"/>
    <mergeCell ref="A28:B28"/>
    <mergeCell ref="A29:B29"/>
    <mergeCell ref="A30:B30"/>
  </mergeCells>
  <phoneticPr fontId="57" type="noConversion"/>
  <printOptions horizontalCentered="1"/>
  <pageMargins left="0.2" right="0.2" top="0.74803149606299213" bottom="0.74803149606299213" header="0.31496062992125984" footer="0.31496062992125984"/>
  <pageSetup paperSize="9" scale="47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83"/>
  <sheetViews>
    <sheetView view="pageBreakPreview" zoomScaleSheetLayoutView="100" workbookViewId="0">
      <selection activeCell="D94" sqref="D94"/>
    </sheetView>
  </sheetViews>
  <sheetFormatPr defaultRowHeight="15" x14ac:dyDescent="0.25"/>
  <cols>
    <col min="1" max="1" width="5" style="438" customWidth="1"/>
    <col min="2" max="2" width="5.42578125" style="441" customWidth="1"/>
    <col min="3" max="3" width="6.85546875" style="441" customWidth="1"/>
    <col min="4" max="4" width="104.42578125" style="441" customWidth="1"/>
    <col min="5" max="5" width="17" style="441" customWidth="1"/>
    <col min="6" max="6" width="17" style="789" customWidth="1"/>
    <col min="7" max="7" width="17" style="438" hidden="1" customWidth="1"/>
    <col min="8" max="8" width="13.5703125" style="438" hidden="1" customWidth="1"/>
    <col min="9" max="13" width="0" style="438" hidden="1" customWidth="1"/>
    <col min="14" max="16384" width="9.140625" style="438"/>
  </cols>
  <sheetData>
    <row r="1" spans="1:8" ht="18.75" x14ac:dyDescent="0.3">
      <c r="A1" s="1837" t="str">
        <f>'12. Támogatási bevételek(B1,B2)'!A1:S1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</row>
    <row r="2" spans="1:8" ht="18.75" x14ac:dyDescent="0.3">
      <c r="A2" s="1837" t="str">
        <f>'12. Támogatási bevételek(B1,B2)'!A2:S2</f>
        <v>az Önkormányzat  2018. évi költségvetéséről</v>
      </c>
      <c r="B2" s="1837"/>
      <c r="C2" s="1837"/>
      <c r="D2" s="1837"/>
      <c r="E2" s="1837"/>
      <c r="F2" s="1837"/>
    </row>
    <row r="3" spans="1:8" ht="18.75" x14ac:dyDescent="0.3">
      <c r="A3" s="1053"/>
      <c r="B3" s="1053"/>
      <c r="C3" s="1053"/>
      <c r="D3" s="1053"/>
      <c r="E3" s="1053"/>
      <c r="F3" s="1053"/>
    </row>
    <row r="4" spans="1:8" ht="18.75" x14ac:dyDescent="0.3">
      <c r="A4" s="1837" t="str">
        <f>Tartalomjegyzék_2018!B20</f>
        <v>Pilisvörösvár Város Önkormányzata általános működésének és ágazati feladatainak állami támogatása</v>
      </c>
      <c r="B4" s="1837"/>
      <c r="C4" s="1837"/>
      <c r="D4" s="1837"/>
      <c r="E4" s="1837"/>
      <c r="F4" s="1837"/>
    </row>
    <row r="5" spans="1:8" ht="18.75" x14ac:dyDescent="0.3">
      <c r="A5" s="1053"/>
      <c r="B5" s="1053"/>
      <c r="C5" s="1053"/>
      <c r="D5" s="1053"/>
      <c r="E5" s="1053"/>
      <c r="F5" s="1053"/>
    </row>
    <row r="6" spans="1:8" s="440" customFormat="1" ht="45" customHeight="1" x14ac:dyDescent="0.3">
      <c r="A6" s="1854" t="s">
        <v>1128</v>
      </c>
      <c r="B6" s="1854"/>
      <c r="C6" s="1854"/>
      <c r="D6" s="1854"/>
      <c r="E6" s="1854"/>
      <c r="F6" s="1854"/>
      <c r="G6" s="439"/>
      <c r="H6" s="439"/>
    </row>
    <row r="7" spans="1:8" ht="19.5" customHeight="1" x14ac:dyDescent="0.3">
      <c r="A7" s="901"/>
      <c r="B7" s="901"/>
      <c r="C7" s="901"/>
      <c r="D7" s="902"/>
      <c r="E7" s="902"/>
      <c r="F7" s="988" t="s">
        <v>794</v>
      </c>
    </row>
    <row r="8" spans="1:8" ht="19.5" thickBot="1" x14ac:dyDescent="0.35">
      <c r="A8" s="27"/>
      <c r="B8" s="903"/>
      <c r="C8" s="903"/>
      <c r="D8" s="903"/>
      <c r="E8" s="903"/>
      <c r="F8" s="988" t="s">
        <v>795</v>
      </c>
    </row>
    <row r="9" spans="1:8" ht="54.75" customHeight="1" thickBot="1" x14ac:dyDescent="0.3">
      <c r="A9" s="904"/>
      <c r="B9" s="1855" t="s">
        <v>487</v>
      </c>
      <c r="C9" s="1855"/>
      <c r="D9" s="1855"/>
      <c r="E9" s="905" t="s">
        <v>903</v>
      </c>
      <c r="F9" s="1673" t="s">
        <v>992</v>
      </c>
    </row>
    <row r="10" spans="1:8" ht="29.25" customHeight="1" x14ac:dyDescent="0.25">
      <c r="A10" s="1866" t="s">
        <v>698</v>
      </c>
      <c r="B10" s="1867"/>
      <c r="C10" s="1867"/>
      <c r="D10" s="1867"/>
      <c r="E10" s="1867"/>
      <c r="F10" s="1868"/>
    </row>
    <row r="11" spans="1:8" s="1284" customFormat="1" ht="15.75" x14ac:dyDescent="0.25">
      <c r="A11" s="1860" t="s">
        <v>488</v>
      </c>
      <c r="B11" s="1879">
        <v>1</v>
      </c>
      <c r="C11" s="1281" t="s">
        <v>489</v>
      </c>
      <c r="D11" s="1282" t="s">
        <v>490</v>
      </c>
      <c r="E11" s="1283">
        <v>156590200</v>
      </c>
      <c r="F11" s="1674">
        <v>156819200</v>
      </c>
      <c r="H11" s="1285"/>
    </row>
    <row r="12" spans="1:8" s="1284" customFormat="1" ht="15.75" x14ac:dyDescent="0.25">
      <c r="A12" s="1860"/>
      <c r="B12" s="1880"/>
      <c r="C12" s="1286" t="s">
        <v>694</v>
      </c>
      <c r="D12" s="1287" t="s">
        <v>491</v>
      </c>
      <c r="E12" s="1288">
        <v>95611485</v>
      </c>
      <c r="F12" s="1675">
        <v>110371823</v>
      </c>
      <c r="H12" s="1289"/>
    </row>
    <row r="13" spans="1:8" s="1284" customFormat="1" ht="17.25" customHeight="1" x14ac:dyDescent="0.25">
      <c r="A13" s="1860"/>
      <c r="B13" s="1880"/>
      <c r="C13" s="1290" t="s">
        <v>492</v>
      </c>
      <c r="D13" s="1282" t="s">
        <v>493</v>
      </c>
      <c r="E13" s="1283">
        <v>70277370</v>
      </c>
      <c r="F13" s="1674">
        <f>F15+F17+F19+F21</f>
        <v>70173610</v>
      </c>
      <c r="H13" s="1289"/>
    </row>
    <row r="14" spans="1:8" s="1284" customFormat="1" ht="17.25" customHeight="1" x14ac:dyDescent="0.25">
      <c r="A14" s="1860"/>
      <c r="B14" s="1880"/>
      <c r="C14" s="1286" t="s">
        <v>695</v>
      </c>
      <c r="D14" s="1291" t="s">
        <v>975</v>
      </c>
      <c r="E14" s="1292">
        <v>0</v>
      </c>
      <c r="F14" s="1676">
        <f>F16+F18+F20+F22+F24</f>
        <v>0</v>
      </c>
      <c r="H14" s="1289"/>
    </row>
    <row r="15" spans="1:8" s="1284" customFormat="1" ht="15.75" x14ac:dyDescent="0.25">
      <c r="A15" s="1860"/>
      <c r="B15" s="1880"/>
      <c r="C15" s="1290"/>
      <c r="D15" s="1293" t="s">
        <v>494</v>
      </c>
      <c r="E15" s="1294">
        <v>12686470</v>
      </c>
      <c r="F15" s="1677">
        <v>12715460</v>
      </c>
      <c r="H15" s="1289"/>
    </row>
    <row r="16" spans="1:8" s="1284" customFormat="1" ht="15.75" x14ac:dyDescent="0.25">
      <c r="A16" s="1860"/>
      <c r="B16" s="1880"/>
      <c r="C16" s="1290"/>
      <c r="D16" s="1295" t="s">
        <v>495</v>
      </c>
      <c r="E16" s="1294">
        <v>0</v>
      </c>
      <c r="F16" s="1677">
        <v>0</v>
      </c>
      <c r="H16" s="1289"/>
    </row>
    <row r="17" spans="1:8" s="1284" customFormat="1" ht="22.5" customHeight="1" x14ac:dyDescent="0.25">
      <c r="A17" s="1860"/>
      <c r="B17" s="1880"/>
      <c r="C17" s="1290"/>
      <c r="D17" s="1295" t="s">
        <v>496</v>
      </c>
      <c r="E17" s="1294">
        <v>37720000</v>
      </c>
      <c r="F17" s="1677">
        <v>37720000</v>
      </c>
      <c r="H17" s="1289"/>
    </row>
    <row r="18" spans="1:8" s="1284" customFormat="1" ht="15.75" x14ac:dyDescent="0.25">
      <c r="A18" s="1860"/>
      <c r="B18" s="1880"/>
      <c r="C18" s="1290"/>
      <c r="D18" s="1295" t="s">
        <v>497</v>
      </c>
      <c r="E18" s="1294">
        <v>0</v>
      </c>
      <c r="F18" s="1677">
        <v>0</v>
      </c>
      <c r="H18" s="1289"/>
    </row>
    <row r="19" spans="1:8" s="1284" customFormat="1" ht="15.75" x14ac:dyDescent="0.25">
      <c r="A19" s="1860"/>
      <c r="B19" s="1880"/>
      <c r="C19" s="1290"/>
      <c r="D19" s="1293" t="s">
        <v>498</v>
      </c>
      <c r="E19" s="1294">
        <v>100000</v>
      </c>
      <c r="F19" s="1677">
        <v>100000</v>
      </c>
      <c r="H19" s="1289"/>
    </row>
    <row r="20" spans="1:8" s="1284" customFormat="1" ht="15.75" x14ac:dyDescent="0.25">
      <c r="A20" s="1860"/>
      <c r="B20" s="1880"/>
      <c r="C20" s="1290"/>
      <c r="D20" s="1293" t="s">
        <v>499</v>
      </c>
      <c r="E20" s="1294">
        <v>0</v>
      </c>
      <c r="F20" s="1677">
        <v>0</v>
      </c>
      <c r="H20" s="1289"/>
    </row>
    <row r="21" spans="1:8" s="1284" customFormat="1" ht="15.75" x14ac:dyDescent="0.25">
      <c r="A21" s="1860"/>
      <c r="B21" s="1880"/>
      <c r="C21" s="1290"/>
      <c r="D21" s="1293" t="s">
        <v>500</v>
      </c>
      <c r="E21" s="1294">
        <v>19770900</v>
      </c>
      <c r="F21" s="1677">
        <v>19638150</v>
      </c>
      <c r="H21" s="1289"/>
    </row>
    <row r="22" spans="1:8" s="1284" customFormat="1" ht="15.75" x14ac:dyDescent="0.25">
      <c r="A22" s="1860"/>
      <c r="B22" s="1880"/>
      <c r="C22" s="1290"/>
      <c r="D22" s="1293" t="s">
        <v>501</v>
      </c>
      <c r="E22" s="1296">
        <v>0</v>
      </c>
      <c r="F22" s="1678">
        <v>0</v>
      </c>
      <c r="H22" s="1289"/>
    </row>
    <row r="23" spans="1:8" s="1284" customFormat="1" ht="15.75" x14ac:dyDescent="0.25">
      <c r="A23" s="1860"/>
      <c r="B23" s="1880"/>
      <c r="C23" s="1290" t="s">
        <v>502</v>
      </c>
      <c r="D23" s="1293" t="s">
        <v>503</v>
      </c>
      <c r="E23" s="1283">
        <v>38936700</v>
      </c>
      <c r="F23" s="1674">
        <v>39044700</v>
      </c>
      <c r="H23" s="1289"/>
    </row>
    <row r="24" spans="1:8" s="1284" customFormat="1" ht="15.75" x14ac:dyDescent="0.25">
      <c r="A24" s="1860"/>
      <c r="B24" s="1880"/>
      <c r="C24" s="1297" t="s">
        <v>696</v>
      </c>
      <c r="D24" s="1298" t="s">
        <v>504</v>
      </c>
      <c r="E24" s="1299">
        <v>0</v>
      </c>
      <c r="F24" s="1679">
        <v>0</v>
      </c>
      <c r="H24" s="1289"/>
    </row>
    <row r="25" spans="1:8" s="1284" customFormat="1" ht="15.75" x14ac:dyDescent="0.25">
      <c r="A25" s="1860"/>
      <c r="B25" s="1880"/>
      <c r="C25" s="1300" t="s">
        <v>505</v>
      </c>
      <c r="D25" s="1301" t="s">
        <v>506</v>
      </c>
      <c r="E25" s="1302">
        <v>1871700</v>
      </c>
      <c r="F25" s="1680">
        <f>2550*740</f>
        <v>1887000</v>
      </c>
      <c r="H25" s="1289"/>
    </row>
    <row r="26" spans="1:8" s="1284" customFormat="1" ht="18.75" customHeight="1" x14ac:dyDescent="0.25">
      <c r="A26" s="1860"/>
      <c r="B26" s="1880"/>
      <c r="C26" s="1297" t="s">
        <v>697</v>
      </c>
      <c r="D26" s="1298" t="s">
        <v>507</v>
      </c>
      <c r="E26" s="1299">
        <v>0</v>
      </c>
      <c r="F26" s="1679">
        <v>0</v>
      </c>
      <c r="H26" s="1289"/>
    </row>
    <row r="27" spans="1:8" s="1284" customFormat="1" ht="18.75" customHeight="1" x14ac:dyDescent="0.25">
      <c r="A27" s="1860"/>
      <c r="B27" s="1303">
        <v>5</v>
      </c>
      <c r="C27" s="1297"/>
      <c r="D27" s="1298" t="s">
        <v>976</v>
      </c>
      <c r="E27" s="1681">
        <v>0</v>
      </c>
      <c r="F27" s="1682">
        <v>0</v>
      </c>
      <c r="H27" s="1289"/>
    </row>
    <row r="28" spans="1:8" s="1284" customFormat="1" ht="16.5" customHeight="1" x14ac:dyDescent="0.25">
      <c r="A28" s="1860"/>
      <c r="B28" s="1437">
        <v>6</v>
      </c>
      <c r="C28" s="1300"/>
      <c r="D28" s="1298" t="s">
        <v>977</v>
      </c>
      <c r="E28" s="1299">
        <v>0</v>
      </c>
      <c r="F28" s="1682">
        <v>512200</v>
      </c>
      <c r="H28" s="1289"/>
    </row>
    <row r="29" spans="1:8" s="1305" customFormat="1" ht="15" customHeight="1" x14ac:dyDescent="0.25">
      <c r="A29" s="1683"/>
      <c r="B29" s="1287"/>
      <c r="C29" s="1300"/>
      <c r="D29" s="1304" t="s">
        <v>508</v>
      </c>
      <c r="E29" s="1302">
        <v>172064484.76872501</v>
      </c>
      <c r="F29" s="1680">
        <v>157552687</v>
      </c>
      <c r="H29" s="1306"/>
    </row>
    <row r="30" spans="1:8" s="443" customFormat="1" ht="32.25" customHeight="1" thickBot="1" x14ac:dyDescent="0.25">
      <c r="A30" s="1684"/>
      <c r="B30" s="1685"/>
      <c r="C30" s="1686" t="s">
        <v>488</v>
      </c>
      <c r="D30" s="1687" t="s">
        <v>509</v>
      </c>
      <c r="E30" s="1688">
        <f>E12+E14+E24+E26+E27+E28</f>
        <v>95611485</v>
      </c>
      <c r="F30" s="1689">
        <f>F12+F14+F24+F26+F27+F28</f>
        <v>110884023</v>
      </c>
      <c r="H30" s="785"/>
    </row>
    <row r="31" spans="1:8" s="443" customFormat="1" ht="30.75" customHeight="1" x14ac:dyDescent="0.2">
      <c r="A31" s="1866" t="s">
        <v>699</v>
      </c>
      <c r="B31" s="1867"/>
      <c r="C31" s="1867"/>
      <c r="D31" s="1867"/>
      <c r="E31" s="1867"/>
      <c r="F31" s="1868"/>
      <c r="H31" s="785"/>
    </row>
    <row r="32" spans="1:8" s="1308" customFormat="1" ht="22.5" customHeight="1" x14ac:dyDescent="0.2">
      <c r="A32" s="1690"/>
      <c r="B32" s="455"/>
      <c r="C32" s="1881" t="s">
        <v>511</v>
      </c>
      <c r="D32" s="1882"/>
      <c r="E32" s="815">
        <f>E33+E37</f>
        <v>255640347</v>
      </c>
      <c r="F32" s="1691">
        <f>F33+F37</f>
        <v>265223700</v>
      </c>
      <c r="G32" s="1307">
        <f>F32-E32</f>
        <v>9583353</v>
      </c>
      <c r="H32" s="604"/>
    </row>
    <row r="33" spans="1:10" s="1308" customFormat="1" ht="15.75" x14ac:dyDescent="0.2">
      <c r="A33" s="1875" t="s">
        <v>510</v>
      </c>
      <c r="B33" s="1872">
        <v>1</v>
      </c>
      <c r="C33" s="444"/>
      <c r="D33" s="444" t="s">
        <v>512</v>
      </c>
      <c r="E33" s="816">
        <f>E34+E35+E36</f>
        <v>198486297</v>
      </c>
      <c r="F33" s="1692">
        <f>F34+F35+F36</f>
        <v>195761700</v>
      </c>
      <c r="H33" s="605"/>
    </row>
    <row r="34" spans="1:10" s="1308" customFormat="1" ht="15.75" x14ac:dyDescent="0.2">
      <c r="A34" s="1875"/>
      <c r="B34" s="1872"/>
      <c r="C34" s="444" t="s">
        <v>1066</v>
      </c>
      <c r="D34" s="445" t="s">
        <v>978</v>
      </c>
      <c r="E34" s="817">
        <v>132011047</v>
      </c>
      <c r="F34" s="1693">
        <v>132570000</v>
      </c>
      <c r="H34" s="783"/>
    </row>
    <row r="35" spans="1:10" s="1308" customFormat="1" ht="15.75" x14ac:dyDescent="0.2">
      <c r="A35" s="1875"/>
      <c r="B35" s="1872"/>
      <c r="C35" s="444" t="s">
        <v>1067</v>
      </c>
      <c r="D35" s="445" t="s">
        <v>979</v>
      </c>
      <c r="E35" s="817">
        <v>64813550</v>
      </c>
      <c r="F35" s="1693">
        <v>63191700</v>
      </c>
      <c r="H35" s="783"/>
    </row>
    <row r="36" spans="1:10" s="1308" customFormat="1" ht="15.75" x14ac:dyDescent="0.2">
      <c r="A36" s="1875"/>
      <c r="B36" s="1872"/>
      <c r="C36" s="444"/>
      <c r="D36" s="445" t="s">
        <v>513</v>
      </c>
      <c r="E36" s="817">
        <v>1661700</v>
      </c>
      <c r="F36" s="1693"/>
      <c r="H36" s="783"/>
    </row>
    <row r="37" spans="1:10" s="1308" customFormat="1" ht="15.75" x14ac:dyDescent="0.2">
      <c r="A37" s="1875"/>
      <c r="B37" s="1872"/>
      <c r="C37" s="444"/>
      <c r="D37" s="444" t="s">
        <v>980</v>
      </c>
      <c r="E37" s="816">
        <f>SUM(E38:E41)</f>
        <v>57154050</v>
      </c>
      <c r="F37" s="1692">
        <f>SUM(F38:F41)</f>
        <v>69462000</v>
      </c>
      <c r="G37" s="1307">
        <f>F37-E37</f>
        <v>12307950</v>
      </c>
      <c r="H37" s="605"/>
      <c r="J37" s="1308">
        <v>60978714.768725008</v>
      </c>
    </row>
    <row r="38" spans="1:10" s="1308" customFormat="1" ht="15.75" x14ac:dyDescent="0.2">
      <c r="A38" s="1875"/>
      <c r="B38" s="1872"/>
      <c r="C38" s="444" t="s">
        <v>1068</v>
      </c>
      <c r="D38" s="445" t="s">
        <v>978</v>
      </c>
      <c r="E38" s="817">
        <v>38089967</v>
      </c>
      <c r="F38" s="1693">
        <v>44835000</v>
      </c>
      <c r="H38" s="783"/>
    </row>
    <row r="39" spans="1:10" s="1308" customFormat="1" ht="15.75" x14ac:dyDescent="0.2">
      <c r="A39" s="1875"/>
      <c r="B39" s="1872"/>
      <c r="C39" s="444" t="s">
        <v>1070</v>
      </c>
      <c r="D39" s="445" t="s">
        <v>981</v>
      </c>
      <c r="E39" s="817">
        <v>19044983</v>
      </c>
      <c r="F39" s="1693">
        <v>22417500</v>
      </c>
      <c r="H39" s="783"/>
    </row>
    <row r="40" spans="1:10" s="1308" customFormat="1" ht="15.75" x14ac:dyDescent="0.2">
      <c r="A40" s="1875"/>
      <c r="B40" s="1872"/>
      <c r="C40" s="444" t="s">
        <v>1069</v>
      </c>
      <c r="D40" s="445" t="s">
        <v>982</v>
      </c>
      <c r="E40" s="817">
        <v>19100</v>
      </c>
      <c r="F40" s="1693">
        <v>1473000</v>
      </c>
      <c r="H40" s="783"/>
    </row>
    <row r="41" spans="1:10" s="1308" customFormat="1" ht="15.75" customHeight="1" x14ac:dyDescent="0.2">
      <c r="A41" s="1875"/>
      <c r="B41" s="1859"/>
      <c r="C41" s="1310" t="s">
        <v>1071</v>
      </c>
      <c r="D41" s="445" t="s">
        <v>983</v>
      </c>
      <c r="E41" s="817">
        <v>0</v>
      </c>
      <c r="F41" s="1693">
        <v>736500</v>
      </c>
      <c r="G41" s="1307">
        <f>F41-E41</f>
        <v>736500</v>
      </c>
      <c r="H41" s="604"/>
    </row>
    <row r="42" spans="1:10" s="1308" customFormat="1" ht="18.75" x14ac:dyDescent="0.2">
      <c r="A42" s="1875"/>
      <c r="B42" s="1858">
        <v>2</v>
      </c>
      <c r="C42" s="444"/>
      <c r="D42" s="447" t="s">
        <v>515</v>
      </c>
      <c r="E42" s="815">
        <f>E43+E45</f>
        <v>39760667</v>
      </c>
      <c r="F42" s="1691">
        <f>F43+F45</f>
        <v>40196400</v>
      </c>
      <c r="H42" s="605"/>
    </row>
    <row r="43" spans="1:10" s="1308" customFormat="1" ht="15.75" x14ac:dyDescent="0.2">
      <c r="A43" s="1875"/>
      <c r="B43" s="1872"/>
      <c r="C43" s="444"/>
      <c r="D43" s="444" t="s">
        <v>978</v>
      </c>
      <c r="E43" s="816">
        <v>26688667</v>
      </c>
      <c r="F43" s="1692">
        <f>+F44</f>
        <v>27124400</v>
      </c>
      <c r="H43" s="783"/>
    </row>
    <row r="44" spans="1:10" s="1308" customFormat="1" ht="15.75" x14ac:dyDescent="0.2">
      <c r="A44" s="1875"/>
      <c r="B44" s="1872"/>
      <c r="C44" s="444" t="s">
        <v>1066</v>
      </c>
      <c r="D44" s="445" t="s">
        <v>516</v>
      </c>
      <c r="E44" s="817">
        <v>25333333</v>
      </c>
      <c r="F44" s="1693">
        <v>27124400</v>
      </c>
      <c r="H44" s="605"/>
    </row>
    <row r="45" spans="1:10" s="1308" customFormat="1" ht="15.75" x14ac:dyDescent="0.2">
      <c r="A45" s="1875"/>
      <c r="B45" s="1872"/>
      <c r="C45" s="444"/>
      <c r="D45" s="444" t="s">
        <v>979</v>
      </c>
      <c r="E45" s="816">
        <f>E46</f>
        <v>13072000</v>
      </c>
      <c r="F45" s="1692">
        <f>F46</f>
        <v>13072000</v>
      </c>
      <c r="H45" s="783"/>
    </row>
    <row r="46" spans="1:10" s="1308" customFormat="1" ht="15.75" x14ac:dyDescent="0.2">
      <c r="A46" s="1875"/>
      <c r="B46" s="1859"/>
      <c r="C46" s="444" t="s">
        <v>1067</v>
      </c>
      <c r="D46" s="445" t="s">
        <v>516</v>
      </c>
      <c r="E46" s="817">
        <v>13072000</v>
      </c>
      <c r="F46" s="1693">
        <v>13072000</v>
      </c>
      <c r="H46" s="604"/>
    </row>
    <row r="47" spans="1:10" s="1308" customFormat="1" ht="15.75" x14ac:dyDescent="0.2">
      <c r="A47" s="1875"/>
      <c r="B47" s="1858">
        <v>4</v>
      </c>
      <c r="C47" s="444"/>
      <c r="D47" s="452" t="s">
        <v>1075</v>
      </c>
      <c r="E47" s="906">
        <f>SUM(E48:E49)</f>
        <v>4189000</v>
      </c>
      <c r="F47" s="1694">
        <f>SUM(F48:F49)</f>
        <v>5179584</v>
      </c>
      <c r="H47" s="604"/>
    </row>
    <row r="48" spans="1:10" s="1308" customFormat="1" ht="15.75" x14ac:dyDescent="0.2">
      <c r="A48" s="1875"/>
      <c r="B48" s="1872"/>
      <c r="C48" s="445" t="s">
        <v>1072</v>
      </c>
      <c r="D48" s="1438" t="s">
        <v>514</v>
      </c>
      <c r="E48" s="1439">
        <v>4189000</v>
      </c>
      <c r="F48" s="1695">
        <v>4812000</v>
      </c>
      <c r="H48" s="604"/>
    </row>
    <row r="49" spans="1:8" s="1308" customFormat="1" ht="31.5" x14ac:dyDescent="0.2">
      <c r="A49" s="1875"/>
      <c r="B49" s="1859"/>
      <c r="C49" s="445" t="s">
        <v>1073</v>
      </c>
      <c r="D49" s="445" t="s">
        <v>1074</v>
      </c>
      <c r="E49" s="1439">
        <v>0</v>
      </c>
      <c r="F49" s="1696">
        <v>367584</v>
      </c>
      <c r="H49" s="604"/>
    </row>
    <row r="50" spans="1:8" s="1308" customFormat="1" ht="27.75" customHeight="1" thickBot="1" x14ac:dyDescent="0.25">
      <c r="A50" s="1876"/>
      <c r="B50" s="1309"/>
      <c r="C50" s="1686" t="s">
        <v>510</v>
      </c>
      <c r="D50" s="1697" t="s">
        <v>517</v>
      </c>
      <c r="E50" s="1688">
        <f>E32+E42+E48</f>
        <v>299590014</v>
      </c>
      <c r="F50" s="1689">
        <f>F32+F42+F47</f>
        <v>310599684</v>
      </c>
      <c r="G50" s="1307">
        <f>F50-E50</f>
        <v>11009670</v>
      </c>
      <c r="H50" s="784"/>
    </row>
    <row r="51" spans="1:8" s="1308" customFormat="1" ht="27.75" customHeight="1" thickBot="1" x14ac:dyDescent="0.25">
      <c r="A51" s="1808"/>
      <c r="B51" s="1809"/>
      <c r="C51" s="1809"/>
      <c r="D51" s="1809"/>
      <c r="E51" s="1809"/>
      <c r="F51" s="1810"/>
      <c r="G51" s="1307"/>
      <c r="H51" s="784"/>
    </row>
    <row r="52" spans="1:8" ht="30" customHeight="1" x14ac:dyDescent="0.25">
      <c r="A52" s="1863" t="s">
        <v>700</v>
      </c>
      <c r="B52" s="1864"/>
      <c r="C52" s="1864"/>
      <c r="D52" s="1864"/>
      <c r="E52" s="1864"/>
      <c r="F52" s="1865"/>
    </row>
    <row r="53" spans="1:8" ht="15.75" x14ac:dyDescent="0.25">
      <c r="A53" s="1856" t="s">
        <v>518</v>
      </c>
      <c r="B53" s="1571">
        <v>2</v>
      </c>
      <c r="C53" s="1870" t="s">
        <v>519</v>
      </c>
      <c r="D53" s="1871"/>
      <c r="E53" s="815">
        <v>21452000</v>
      </c>
      <c r="F53" s="1691">
        <v>21340000</v>
      </c>
      <c r="G53" s="963">
        <f>F53-E53</f>
        <v>-112000</v>
      </c>
      <c r="H53" s="604"/>
    </row>
    <row r="54" spans="1:8" ht="15.75" customHeight="1" x14ac:dyDescent="0.25">
      <c r="A54" s="1856"/>
      <c r="B54" s="1858">
        <v>3</v>
      </c>
      <c r="C54" s="444"/>
      <c r="D54" s="447" t="s">
        <v>520</v>
      </c>
      <c r="E54" s="815">
        <f>SUM(E55:E62)</f>
        <v>57180480</v>
      </c>
      <c r="F54" s="1691">
        <f>SUM(F55:F62)</f>
        <v>57570920</v>
      </c>
      <c r="G54" s="963">
        <f>F54-E54</f>
        <v>390440</v>
      </c>
      <c r="H54" s="604"/>
    </row>
    <row r="55" spans="1:8" ht="15.75" x14ac:dyDescent="0.25">
      <c r="A55" s="1856"/>
      <c r="B55" s="1872"/>
      <c r="C55" s="444" t="s">
        <v>489</v>
      </c>
      <c r="D55" s="1310" t="s">
        <v>706</v>
      </c>
      <c r="E55" s="816">
        <v>14400000</v>
      </c>
      <c r="F55" s="1692">
        <v>16320000</v>
      </c>
      <c r="H55" s="605"/>
    </row>
    <row r="56" spans="1:8" ht="15.75" x14ac:dyDescent="0.25">
      <c r="A56" s="1856"/>
      <c r="B56" s="1872"/>
      <c r="C56" s="444" t="s">
        <v>492</v>
      </c>
      <c r="D56" s="1310" t="s">
        <v>705</v>
      </c>
      <c r="E56" s="816">
        <v>20100000</v>
      </c>
      <c r="F56" s="1692">
        <v>22110000</v>
      </c>
      <c r="H56" s="605"/>
    </row>
    <row r="57" spans="1:8" ht="15.75" x14ac:dyDescent="0.25">
      <c r="A57" s="1856"/>
      <c r="B57" s="1872"/>
      <c r="C57" s="444" t="s">
        <v>502</v>
      </c>
      <c r="D57" s="444" t="s">
        <v>23</v>
      </c>
      <c r="E57" s="816">
        <v>3764480</v>
      </c>
      <c r="F57" s="1692">
        <v>3985920</v>
      </c>
      <c r="H57" s="605"/>
    </row>
    <row r="58" spans="1:8" ht="15.75" x14ac:dyDescent="0.25">
      <c r="A58" s="1856"/>
      <c r="B58" s="1872"/>
      <c r="C58" s="444" t="s">
        <v>505</v>
      </c>
      <c r="D58" s="444" t="s">
        <v>984</v>
      </c>
      <c r="E58" s="816"/>
      <c r="F58" s="1692">
        <v>50000</v>
      </c>
      <c r="H58" s="605"/>
    </row>
    <row r="59" spans="1:8" ht="15.75" x14ac:dyDescent="0.25">
      <c r="A59" s="1856"/>
      <c r="B59" s="1872"/>
      <c r="C59" s="444" t="s">
        <v>24</v>
      </c>
      <c r="D59" s="444" t="s">
        <v>985</v>
      </c>
      <c r="E59" s="816">
        <v>4120000</v>
      </c>
      <c r="F59" s="1692">
        <v>5577000</v>
      </c>
      <c r="H59" s="786"/>
    </row>
    <row r="60" spans="1:8" ht="15.75" x14ac:dyDescent="0.25">
      <c r="A60" s="1856"/>
      <c r="B60" s="1872"/>
      <c r="C60" s="444" t="s">
        <v>26</v>
      </c>
      <c r="D60" s="444" t="s">
        <v>25</v>
      </c>
      <c r="E60" s="818">
        <v>4905000</v>
      </c>
      <c r="F60" s="1698">
        <v>4578000</v>
      </c>
      <c r="H60" s="786"/>
    </row>
    <row r="61" spans="1:8" ht="15.75" x14ac:dyDescent="0.25">
      <c r="A61" s="1856"/>
      <c r="B61" s="1859"/>
      <c r="C61" s="444" t="s">
        <v>701</v>
      </c>
      <c r="D61" s="444" t="s">
        <v>27</v>
      </c>
      <c r="E61" s="818">
        <v>4950000</v>
      </c>
      <c r="F61" s="1698">
        <v>4950000</v>
      </c>
      <c r="H61" s="786"/>
    </row>
    <row r="62" spans="1:8" ht="15.75" x14ac:dyDescent="0.25">
      <c r="A62" s="1856"/>
      <c r="B62" s="1572"/>
      <c r="C62" s="446"/>
      <c r="D62" s="446" t="s">
        <v>986</v>
      </c>
      <c r="E62" s="818">
        <v>4941000</v>
      </c>
      <c r="F62" s="1698">
        <v>0</v>
      </c>
      <c r="H62" s="786"/>
    </row>
    <row r="63" spans="1:8" ht="32.25" customHeight="1" x14ac:dyDescent="0.25">
      <c r="A63" s="1856"/>
      <c r="B63" s="1858">
        <v>4</v>
      </c>
      <c r="C63" s="1861" t="s">
        <v>28</v>
      </c>
      <c r="D63" s="1862"/>
      <c r="E63" s="448">
        <f>E64+E65</f>
        <v>11915120</v>
      </c>
      <c r="F63" s="1699">
        <f>F64+F65</f>
        <v>11270000</v>
      </c>
      <c r="G63" s="963">
        <f>F63-E63</f>
        <v>-645120</v>
      </c>
      <c r="H63" s="787"/>
    </row>
    <row r="64" spans="1:8" ht="15.75" x14ac:dyDescent="0.25">
      <c r="A64" s="1856"/>
      <c r="B64" s="1872"/>
      <c r="C64" s="444" t="s">
        <v>489</v>
      </c>
      <c r="D64" s="444" t="s">
        <v>29</v>
      </c>
      <c r="E64" s="818">
        <v>7818120</v>
      </c>
      <c r="F64" s="1698">
        <v>8544000</v>
      </c>
      <c r="H64" s="786"/>
    </row>
    <row r="65" spans="1:8" ht="15.75" x14ac:dyDescent="0.25">
      <c r="A65" s="1856"/>
      <c r="B65" s="1859"/>
      <c r="C65" s="444" t="s">
        <v>492</v>
      </c>
      <c r="D65" s="444" t="s">
        <v>30</v>
      </c>
      <c r="E65" s="818">
        <v>4097000</v>
      </c>
      <c r="F65" s="1698">
        <v>2726000</v>
      </c>
      <c r="H65" s="786"/>
    </row>
    <row r="66" spans="1:8" ht="15.75" x14ac:dyDescent="0.25">
      <c r="A66" s="1856"/>
      <c r="B66" s="1858">
        <v>5</v>
      </c>
      <c r="C66" s="1877" t="s">
        <v>31</v>
      </c>
      <c r="D66" s="1878"/>
      <c r="E66" s="448">
        <f>SUM(E67:E69)</f>
        <v>99485200</v>
      </c>
      <c r="F66" s="1699">
        <f>SUM(F67:F69)</f>
        <v>98139306</v>
      </c>
      <c r="G66" s="963">
        <f>F66-E66</f>
        <v>-1345894</v>
      </c>
      <c r="H66" s="787"/>
    </row>
    <row r="67" spans="1:8" ht="15.75" x14ac:dyDescent="0.25">
      <c r="A67" s="1856"/>
      <c r="B67" s="1872"/>
      <c r="C67" s="444" t="s">
        <v>489</v>
      </c>
      <c r="D67" s="444" t="s">
        <v>32</v>
      </c>
      <c r="E67" s="818">
        <v>37274880</v>
      </c>
      <c r="F67" s="1698">
        <v>34466000</v>
      </c>
      <c r="H67" s="786"/>
    </row>
    <row r="68" spans="1:8" ht="15.75" x14ac:dyDescent="0.25">
      <c r="A68" s="1869"/>
      <c r="B68" s="1872"/>
      <c r="C68" s="444" t="s">
        <v>492</v>
      </c>
      <c r="D68" s="444" t="s">
        <v>33</v>
      </c>
      <c r="E68" s="818">
        <v>62210320</v>
      </c>
      <c r="F68" s="1698">
        <v>63673306</v>
      </c>
      <c r="H68" s="786"/>
    </row>
    <row r="69" spans="1:8" ht="15.75" x14ac:dyDescent="0.25">
      <c r="A69" s="1869"/>
      <c r="B69" s="1872"/>
      <c r="C69" s="453" t="s">
        <v>502</v>
      </c>
      <c r="D69" s="454" t="s">
        <v>702</v>
      </c>
      <c r="E69" s="907">
        <v>0</v>
      </c>
      <c r="F69" s="1700">
        <v>0</v>
      </c>
      <c r="H69" s="786"/>
    </row>
    <row r="70" spans="1:8" ht="15.75" x14ac:dyDescent="0.25">
      <c r="A70" s="1869"/>
      <c r="B70" s="1873">
        <v>7</v>
      </c>
      <c r="C70" s="444"/>
      <c r="D70" s="447" t="s">
        <v>988</v>
      </c>
      <c r="E70" s="907"/>
      <c r="F70" s="1701">
        <f>SUM(F71:F73)</f>
        <v>13195000</v>
      </c>
      <c r="H70" s="786"/>
    </row>
    <row r="71" spans="1:8" ht="15.75" x14ac:dyDescent="0.25">
      <c r="A71" s="1869"/>
      <c r="B71" s="1874"/>
      <c r="C71" s="444" t="s">
        <v>489</v>
      </c>
      <c r="D71" s="454" t="s">
        <v>989</v>
      </c>
      <c r="E71" s="907"/>
      <c r="F71" s="1700">
        <v>4419000</v>
      </c>
      <c r="H71" s="786"/>
    </row>
    <row r="72" spans="1:8" ht="30" x14ac:dyDescent="0.25">
      <c r="A72" s="1869"/>
      <c r="B72" s="1312"/>
      <c r="C72" s="444" t="s">
        <v>489</v>
      </c>
      <c r="D72" s="1313" t="s">
        <v>990</v>
      </c>
      <c r="E72" s="907"/>
      <c r="F72" s="1700">
        <v>5986000</v>
      </c>
      <c r="H72" s="786"/>
    </row>
    <row r="73" spans="1:8" ht="15.75" x14ac:dyDescent="0.25">
      <c r="A73" s="1869"/>
      <c r="B73" s="1312"/>
      <c r="C73" s="444" t="s">
        <v>492</v>
      </c>
      <c r="D73" s="1313" t="s">
        <v>991</v>
      </c>
      <c r="E73" s="907"/>
      <c r="F73" s="1700">
        <v>2790000</v>
      </c>
      <c r="H73" s="786"/>
    </row>
    <row r="74" spans="1:8" ht="28.5" x14ac:dyDescent="0.25">
      <c r="A74" s="1869"/>
      <c r="B74" s="788"/>
      <c r="C74" s="453"/>
      <c r="D74" s="1311" t="s">
        <v>987</v>
      </c>
      <c r="E74" s="908">
        <v>3017520</v>
      </c>
      <c r="F74" s="1701"/>
      <c r="G74" s="963">
        <f>F74-E74</f>
        <v>-3017520</v>
      </c>
      <c r="H74" s="786"/>
    </row>
    <row r="75" spans="1:8" ht="33.75" customHeight="1" thickBot="1" x14ac:dyDescent="0.3">
      <c r="A75" s="1857"/>
      <c r="B75" s="1702"/>
      <c r="C75" s="1703" t="s">
        <v>518</v>
      </c>
      <c r="D75" s="1697" t="s">
        <v>34</v>
      </c>
      <c r="E75" s="1688">
        <f>E53+E54+E63+E66+E74</f>
        <v>193050320</v>
      </c>
      <c r="F75" s="1689">
        <f>F53+F54+F63+F66+F70+F74</f>
        <v>201515226</v>
      </c>
      <c r="G75" s="963">
        <f>F75-E75</f>
        <v>8464906</v>
      </c>
      <c r="H75" s="787"/>
    </row>
    <row r="76" spans="1:8" ht="26.25" customHeight="1" x14ac:dyDescent="0.25">
      <c r="A76" s="1863" t="s">
        <v>703</v>
      </c>
      <c r="B76" s="1864"/>
      <c r="C76" s="1864"/>
      <c r="D76" s="1864"/>
      <c r="E76" s="1864"/>
      <c r="F76" s="1865"/>
      <c r="H76" s="784"/>
    </row>
    <row r="77" spans="1:8" s="450" customFormat="1" ht="34.5" customHeight="1" x14ac:dyDescent="0.2">
      <c r="A77" s="1856" t="s">
        <v>35</v>
      </c>
      <c r="B77" s="1858">
        <v>1</v>
      </c>
      <c r="C77" s="449"/>
      <c r="D77" s="447" t="s">
        <v>36</v>
      </c>
      <c r="E77" s="448">
        <f>E78</f>
        <v>16439940</v>
      </c>
      <c r="F77" s="1699">
        <f>F78</f>
        <v>17497810</v>
      </c>
    </row>
    <row r="78" spans="1:8" ht="32.25" customHeight="1" x14ac:dyDescent="0.25">
      <c r="A78" s="1856"/>
      <c r="B78" s="1859"/>
      <c r="C78" s="444" t="s">
        <v>505</v>
      </c>
      <c r="D78" s="442" t="s">
        <v>704</v>
      </c>
      <c r="E78" s="818">
        <v>16439940</v>
      </c>
      <c r="F78" s="1698">
        <v>17497810</v>
      </c>
    </row>
    <row r="79" spans="1:8" ht="15.75" customHeight="1" thickBot="1" x14ac:dyDescent="0.3">
      <c r="A79" s="1857"/>
      <c r="B79" s="1704"/>
      <c r="C79" s="1703" t="s">
        <v>35</v>
      </c>
      <c r="D79" s="1705" t="s">
        <v>37</v>
      </c>
      <c r="E79" s="1688">
        <f>E78</f>
        <v>16439940</v>
      </c>
      <c r="F79" s="1689">
        <f>F78</f>
        <v>17497810</v>
      </c>
    </row>
    <row r="80" spans="1:8" ht="16.5" thickBot="1" x14ac:dyDescent="0.3">
      <c r="A80" s="1706"/>
      <c r="B80" s="1706"/>
      <c r="C80" s="1706"/>
      <c r="D80" s="1706"/>
      <c r="E80" s="1706"/>
      <c r="F80" s="1707"/>
    </row>
    <row r="81" spans="1:6" ht="16.5" thickBot="1" x14ac:dyDescent="0.3">
      <c r="A81" s="1708"/>
      <c r="B81" s="1709"/>
      <c r="C81" s="1709"/>
      <c r="D81" s="1710" t="s">
        <v>461</v>
      </c>
      <c r="E81" s="1711">
        <f>E30+E50+E75+E79</f>
        <v>604691759</v>
      </c>
      <c r="F81" s="909">
        <f>F30+F50+F75+F79</f>
        <v>640496743</v>
      </c>
    </row>
    <row r="82" spans="1:6" ht="15.75" x14ac:dyDescent="0.25">
      <c r="A82" s="451"/>
      <c r="B82" s="451"/>
      <c r="C82" s="451"/>
      <c r="D82" s="451"/>
      <c r="E82" s="451"/>
    </row>
    <row r="83" spans="1:6" ht="15.75" x14ac:dyDescent="0.25">
      <c r="A83" s="451"/>
      <c r="B83" s="451"/>
      <c r="C83" s="451"/>
      <c r="D83" s="451"/>
      <c r="E83" s="451"/>
    </row>
  </sheetData>
  <mergeCells count="26">
    <mergeCell ref="A10:F10"/>
    <mergeCell ref="A33:A50"/>
    <mergeCell ref="A52:F52"/>
    <mergeCell ref="C66:D66"/>
    <mergeCell ref="B11:B26"/>
    <mergeCell ref="C32:D32"/>
    <mergeCell ref="B42:B46"/>
    <mergeCell ref="B33:B41"/>
    <mergeCell ref="B47:B49"/>
    <mergeCell ref="A77:A79"/>
    <mergeCell ref="B77:B78"/>
    <mergeCell ref="A11:A28"/>
    <mergeCell ref="C63:D63"/>
    <mergeCell ref="A76:F76"/>
    <mergeCell ref="A31:F31"/>
    <mergeCell ref="A53:A75"/>
    <mergeCell ref="C53:D53"/>
    <mergeCell ref="B54:B61"/>
    <mergeCell ref="B63:B65"/>
    <mergeCell ref="B66:B69"/>
    <mergeCell ref="B70:B71"/>
    <mergeCell ref="A4:F4"/>
    <mergeCell ref="A6:F6"/>
    <mergeCell ref="A1:F1"/>
    <mergeCell ref="A2:F2"/>
    <mergeCell ref="B9:D9"/>
  </mergeCells>
  <printOptions horizontalCentered="1"/>
  <pageMargins left="0.27559055118110237" right="0.27559055118110237" top="0.78740157480314965" bottom="0.78740157480314965" header="0.51181102362204722" footer="0.51181102362204722"/>
  <pageSetup paperSize="9" scale="70" fitToHeight="0" orientation="portrait" r:id="rId1"/>
  <headerFooter alignWithMargins="0"/>
  <rowBreaks count="1" manualBreakCount="1">
    <brk id="50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9"/>
  <sheetViews>
    <sheetView view="pageBreakPreview" zoomScaleNormal="100" zoomScaleSheetLayoutView="100" workbookViewId="0">
      <selection activeCell="F1" sqref="F1:F1048576"/>
    </sheetView>
  </sheetViews>
  <sheetFormatPr defaultRowHeight="18.75" x14ac:dyDescent="0.3"/>
  <cols>
    <col min="1" max="1" width="7.28515625" style="568" bestFit="1" customWidth="1"/>
    <col min="2" max="2" width="115.28515625" style="568" bestFit="1" customWidth="1"/>
    <col min="3" max="3" width="14.85546875" style="567" bestFit="1" customWidth="1"/>
    <col min="4" max="4" width="15.7109375" style="528" bestFit="1" customWidth="1"/>
    <col min="5" max="5" width="18.85546875" style="528" customWidth="1"/>
    <col min="6" max="6" width="19" style="524" hidden="1" customWidth="1"/>
    <col min="7" max="7" width="19" style="523" customWidth="1"/>
    <col min="8" max="8" width="19.7109375" style="524" customWidth="1"/>
    <col min="9" max="16384" width="9.140625" style="523"/>
  </cols>
  <sheetData>
    <row r="1" spans="1:8" x14ac:dyDescent="0.3">
      <c r="A1" s="1883" t="str">
        <f>'13. Költségvetési támogatások'!A1:F1</f>
        <v>Pilisvörösvár Város Önkormányzata Képviselő-testületének 2/2018. (II. 9.) önkormányzati rendelete</v>
      </c>
      <c r="B1" s="1883"/>
      <c r="C1" s="1883"/>
      <c r="D1" s="1883"/>
      <c r="E1" s="1883"/>
      <c r="F1" s="521"/>
      <c r="G1" s="522"/>
      <c r="H1" s="522"/>
    </row>
    <row r="2" spans="1:8" ht="18.75" customHeight="1" x14ac:dyDescent="0.3">
      <c r="A2" s="1883" t="str">
        <f>'13. Költségvetési támogatások'!A2:F2</f>
        <v>az Önkormányzat  2018. évi költségvetéséről</v>
      </c>
      <c r="B2" s="1883"/>
      <c r="C2" s="1883"/>
      <c r="D2" s="1883"/>
      <c r="E2" s="1883"/>
      <c r="F2" s="521"/>
      <c r="G2" s="522"/>
      <c r="H2" s="522"/>
    </row>
    <row r="3" spans="1:8" x14ac:dyDescent="0.3">
      <c r="A3" s="1884" t="str">
        <f>[6]Tartalomjegyzék_2017!B21</f>
        <v xml:space="preserve">Pilisvörösvár Város Önkormányzata intézményi normatíva kimutatása  </v>
      </c>
      <c r="B3" s="1884"/>
      <c r="C3" s="1884"/>
      <c r="D3" s="1884"/>
      <c r="E3" s="1884"/>
      <c r="F3" s="585"/>
    </row>
    <row r="4" spans="1:8" x14ac:dyDescent="0.3">
      <c r="A4" s="525"/>
      <c r="B4" s="526"/>
      <c r="C4" s="527"/>
      <c r="E4" s="529"/>
      <c r="F4" s="530" t="s">
        <v>462</v>
      </c>
    </row>
    <row r="5" spans="1:8" ht="20.25" x14ac:dyDescent="0.3">
      <c r="A5" s="525"/>
      <c r="B5" s="525"/>
      <c r="C5" s="527"/>
      <c r="E5" s="989" t="s">
        <v>681</v>
      </c>
      <c r="F5" s="530"/>
    </row>
    <row r="6" spans="1:8" s="532" customFormat="1" ht="23.25" thickBot="1" x14ac:dyDescent="0.35">
      <c r="A6" s="606"/>
      <c r="B6" s="645" t="s">
        <v>570</v>
      </c>
      <c r="C6" s="607"/>
      <c r="D6" s="608"/>
      <c r="E6" s="989" t="s">
        <v>486</v>
      </c>
      <c r="F6" s="531"/>
      <c r="H6" s="531"/>
    </row>
    <row r="7" spans="1:8" ht="72.75" customHeight="1" thickBot="1" x14ac:dyDescent="0.3">
      <c r="A7" s="1578" t="s">
        <v>65</v>
      </c>
      <c r="B7" s="1579" t="s">
        <v>487</v>
      </c>
      <c r="C7" s="1580" t="s">
        <v>66</v>
      </c>
      <c r="D7" s="1579" t="s">
        <v>67</v>
      </c>
      <c r="E7" s="1581" t="s">
        <v>68</v>
      </c>
      <c r="F7" s="533" t="s">
        <v>69</v>
      </c>
    </row>
    <row r="8" spans="1:8" s="535" customFormat="1" ht="45.75" customHeight="1" x14ac:dyDescent="0.3">
      <c r="A8" s="1582">
        <v>1</v>
      </c>
      <c r="B8" s="624" t="s">
        <v>1005</v>
      </c>
      <c r="C8" s="610">
        <v>25.5</v>
      </c>
      <c r="D8" s="609">
        <f>4419000/3*2</f>
        <v>2946000</v>
      </c>
      <c r="E8" s="1583">
        <f>C8*D8</f>
        <v>75123000</v>
      </c>
      <c r="F8" s="534">
        <f>ROUND(E8/1000,0)</f>
        <v>75123</v>
      </c>
    </row>
    <row r="9" spans="1:8" s="535" customFormat="1" ht="37.5" x14ac:dyDescent="0.3">
      <c r="A9" s="1582">
        <v>2</v>
      </c>
      <c r="B9" s="611" t="s">
        <v>808</v>
      </c>
      <c r="C9" s="610">
        <v>17</v>
      </c>
      <c r="D9" s="609">
        <f>2205000/3*2</f>
        <v>1470000</v>
      </c>
      <c r="E9" s="1583">
        <f>C9*D9</f>
        <v>24990000</v>
      </c>
      <c r="F9" s="534"/>
    </row>
    <row r="10" spans="1:8" s="535" customFormat="1" ht="37.5" x14ac:dyDescent="0.3">
      <c r="A10" s="1582">
        <v>3</v>
      </c>
      <c r="B10" s="611" t="s">
        <v>752</v>
      </c>
      <c r="C10" s="610">
        <v>0</v>
      </c>
      <c r="D10" s="609">
        <v>0</v>
      </c>
      <c r="E10" s="1583">
        <v>0</v>
      </c>
      <c r="F10" s="534"/>
    </row>
    <row r="11" spans="1:8" s="537" customFormat="1" ht="24.95" customHeight="1" x14ac:dyDescent="0.3">
      <c r="A11" s="1582">
        <v>4</v>
      </c>
      <c r="B11" s="611" t="s">
        <v>1006</v>
      </c>
      <c r="C11" s="610">
        <v>260</v>
      </c>
      <c r="D11" s="609">
        <f>81700/3*2</f>
        <v>54466.666666666664</v>
      </c>
      <c r="E11" s="1583">
        <f>C11*D11</f>
        <v>14161333.333333332</v>
      </c>
      <c r="F11" s="536"/>
    </row>
    <row r="12" spans="1:8" s="535" customFormat="1" ht="48" customHeight="1" x14ac:dyDescent="0.3">
      <c r="A12" s="1582">
        <v>5</v>
      </c>
      <c r="B12" s="624" t="s">
        <v>1007</v>
      </c>
      <c r="C12" s="610">
        <v>24.3</v>
      </c>
      <c r="D12" s="609">
        <f>4419000/3</f>
        <v>1473000</v>
      </c>
      <c r="E12" s="1583">
        <f>C12*D12</f>
        <v>35793900</v>
      </c>
      <c r="F12" s="534">
        <f>ROUND(E12/1000,0)</f>
        <v>35794</v>
      </c>
    </row>
    <row r="13" spans="1:8" s="535" customFormat="1" ht="37.5" x14ac:dyDescent="0.3">
      <c r="A13" s="1582">
        <v>6</v>
      </c>
      <c r="B13" s="612" t="s">
        <v>809</v>
      </c>
      <c r="C13" s="610">
        <v>17</v>
      </c>
      <c r="D13" s="609">
        <f>2205000/3</f>
        <v>735000</v>
      </c>
      <c r="E13" s="1583">
        <f>C13*D13</f>
        <v>12495000</v>
      </c>
      <c r="F13" s="534"/>
    </row>
    <row r="14" spans="1:8" s="535" customFormat="1" ht="37.5" x14ac:dyDescent="0.3">
      <c r="A14" s="1582">
        <v>7</v>
      </c>
      <c r="B14" s="611" t="s">
        <v>753</v>
      </c>
      <c r="C14" s="610">
        <v>0</v>
      </c>
      <c r="D14" s="609">
        <v>0</v>
      </c>
      <c r="E14" s="1583">
        <v>0</v>
      </c>
      <c r="F14" s="534"/>
    </row>
    <row r="15" spans="1:8" s="535" customFormat="1" ht="24.95" customHeight="1" x14ac:dyDescent="0.3">
      <c r="A15" s="1582">
        <v>8</v>
      </c>
      <c r="B15" s="612" t="s">
        <v>1008</v>
      </c>
      <c r="C15" s="610">
        <v>250</v>
      </c>
      <c r="D15" s="609">
        <f>81700/3</f>
        <v>27233.333333333332</v>
      </c>
      <c r="E15" s="1583">
        <f>C15*D15</f>
        <v>6808333.333333333</v>
      </c>
      <c r="F15" s="534"/>
    </row>
    <row r="16" spans="1:8" s="535" customFormat="1" ht="39" customHeight="1" x14ac:dyDescent="0.3">
      <c r="A16" s="1582">
        <v>9</v>
      </c>
      <c r="B16" s="611" t="s">
        <v>754</v>
      </c>
      <c r="C16" s="610">
        <v>0</v>
      </c>
      <c r="D16" s="609">
        <v>0</v>
      </c>
      <c r="E16" s="1583">
        <v>0</v>
      </c>
      <c r="F16" s="538"/>
    </row>
    <row r="17" spans="1:8" s="535" customFormat="1" ht="24.95" customHeight="1" x14ac:dyDescent="0.3">
      <c r="A17" s="1582">
        <v>10</v>
      </c>
      <c r="B17" s="613" t="s">
        <v>1009</v>
      </c>
      <c r="C17" s="610">
        <v>9</v>
      </c>
      <c r="D17" s="609">
        <v>401000</v>
      </c>
      <c r="E17" s="1583">
        <f>C17*D17</f>
        <v>3609000</v>
      </c>
      <c r="F17" s="538"/>
    </row>
    <row r="18" spans="1:8" s="535" customFormat="1" ht="45.75" customHeight="1" x14ac:dyDescent="0.3">
      <c r="A18" s="1584">
        <v>11</v>
      </c>
      <c r="B18" s="1442" t="s">
        <v>1094</v>
      </c>
      <c r="C18" s="1443">
        <v>1</v>
      </c>
      <c r="D18" s="609">
        <v>367584</v>
      </c>
      <c r="E18" s="1585">
        <v>367584</v>
      </c>
      <c r="F18" s="538"/>
    </row>
    <row r="19" spans="1:8" s="535" customFormat="1" ht="24.95" customHeight="1" thickBot="1" x14ac:dyDescent="0.35">
      <c r="A19" s="1584">
        <v>12</v>
      </c>
      <c r="B19" s="641" t="s">
        <v>79</v>
      </c>
      <c r="C19" s="625">
        <f>199*1.27</f>
        <v>252.73</v>
      </c>
      <c r="D19" s="637">
        <v>116602</v>
      </c>
      <c r="E19" s="1585">
        <f>C19*D19</f>
        <v>29468823.459999997</v>
      </c>
      <c r="F19" s="538"/>
    </row>
    <row r="20" spans="1:8" ht="24.95" customHeight="1" thickBot="1" x14ac:dyDescent="0.25">
      <c r="A20" s="1586">
        <v>13</v>
      </c>
      <c r="B20" s="614" t="s">
        <v>1010</v>
      </c>
      <c r="C20" s="615"/>
      <c r="D20" s="616"/>
      <c r="E20" s="1587">
        <f>SUM(E8:E19)</f>
        <v>202816974.12666667</v>
      </c>
      <c r="F20" s="539">
        <f>ROUND(E20/1000,0)</f>
        <v>202817</v>
      </c>
      <c r="H20" s="523"/>
    </row>
    <row r="21" spans="1:8" ht="24.95" customHeight="1" x14ac:dyDescent="0.3">
      <c r="A21" s="617"/>
      <c r="B21" s="618"/>
      <c r="C21" s="619"/>
      <c r="D21" s="620"/>
      <c r="E21" s="620"/>
    </row>
    <row r="22" spans="1:8" ht="24.95" customHeight="1" thickBot="1" x14ac:dyDescent="0.35">
      <c r="A22" s="621"/>
      <c r="B22" s="646" t="s">
        <v>571</v>
      </c>
      <c r="C22" s="622"/>
      <c r="D22" s="623"/>
      <c r="E22" s="620"/>
      <c r="F22" s="541"/>
      <c r="G22" s="541"/>
      <c r="H22" s="542"/>
    </row>
    <row r="23" spans="1:8" s="535" customFormat="1" ht="40.5" customHeight="1" x14ac:dyDescent="0.3">
      <c r="A23" s="1588">
        <v>14</v>
      </c>
      <c r="B23" s="1589" t="s">
        <v>1011</v>
      </c>
      <c r="C23" s="1590">
        <v>19.5</v>
      </c>
      <c r="D23" s="1591">
        <f>4419000/3*2</f>
        <v>2946000</v>
      </c>
      <c r="E23" s="1592">
        <f t="shared" ref="E23:E31" si="0">C23*D23</f>
        <v>57447000</v>
      </c>
      <c r="F23" s="543">
        <f t="shared" ref="F23:F34" si="1">ROUND(E23/1000,0)</f>
        <v>57447</v>
      </c>
    </row>
    <row r="24" spans="1:8" s="535" customFormat="1" ht="37.5" x14ac:dyDescent="0.3">
      <c r="A24" s="1593">
        <v>15</v>
      </c>
      <c r="B24" s="611" t="s">
        <v>755</v>
      </c>
      <c r="C24" s="610">
        <v>13.5</v>
      </c>
      <c r="D24" s="609">
        <f>2205000/3*2</f>
        <v>1470000</v>
      </c>
      <c r="E24" s="1583">
        <f t="shared" si="0"/>
        <v>19845000</v>
      </c>
      <c r="F24" s="534">
        <f t="shared" si="1"/>
        <v>19845</v>
      </c>
    </row>
    <row r="25" spans="1:8" s="535" customFormat="1" ht="37.5" x14ac:dyDescent="0.3">
      <c r="A25" s="1593">
        <v>16</v>
      </c>
      <c r="B25" s="611" t="s">
        <v>752</v>
      </c>
      <c r="C25" s="610">
        <v>0.5</v>
      </c>
      <c r="D25" s="609">
        <f>4419000/3*2</f>
        <v>2946000</v>
      </c>
      <c r="E25" s="1583">
        <f t="shared" si="0"/>
        <v>1473000</v>
      </c>
      <c r="F25" s="534"/>
    </row>
    <row r="26" spans="1:8" s="535" customFormat="1" ht="24.95" customHeight="1" x14ac:dyDescent="0.3">
      <c r="A26" s="1593">
        <v>17</v>
      </c>
      <c r="B26" s="612" t="s">
        <v>1006</v>
      </c>
      <c r="C26" s="610">
        <v>238</v>
      </c>
      <c r="D26" s="609">
        <f>81700/3*2</f>
        <v>54466.666666666664</v>
      </c>
      <c r="E26" s="1583">
        <f t="shared" si="0"/>
        <v>12963066.666666666</v>
      </c>
      <c r="F26" s="534"/>
    </row>
    <row r="27" spans="1:8" s="535" customFormat="1" ht="40.5" customHeight="1" x14ac:dyDescent="0.3">
      <c r="A27" s="1593">
        <v>18</v>
      </c>
      <c r="B27" s="624" t="s">
        <v>1012</v>
      </c>
      <c r="C27" s="610">
        <v>18.600000000000001</v>
      </c>
      <c r="D27" s="609">
        <f>4419000/3</f>
        <v>1473000</v>
      </c>
      <c r="E27" s="1583">
        <f t="shared" si="0"/>
        <v>27397800.000000004</v>
      </c>
      <c r="F27" s="534">
        <f t="shared" si="1"/>
        <v>27398</v>
      </c>
    </row>
    <row r="28" spans="1:8" s="535" customFormat="1" ht="39.75" customHeight="1" x14ac:dyDescent="0.3">
      <c r="A28" s="1593">
        <v>19</v>
      </c>
      <c r="B28" s="612" t="s">
        <v>809</v>
      </c>
      <c r="C28" s="610">
        <v>13.5</v>
      </c>
      <c r="D28" s="609">
        <f>2205000/3</f>
        <v>735000</v>
      </c>
      <c r="E28" s="1583">
        <f t="shared" si="0"/>
        <v>9922500</v>
      </c>
      <c r="F28" s="534">
        <f t="shared" si="1"/>
        <v>9923</v>
      </c>
    </row>
    <row r="29" spans="1:8" s="535" customFormat="1" ht="39.75" customHeight="1" x14ac:dyDescent="0.3">
      <c r="A29" s="1593">
        <v>20</v>
      </c>
      <c r="B29" s="611" t="s">
        <v>753</v>
      </c>
      <c r="C29" s="610">
        <v>0.5</v>
      </c>
      <c r="D29" s="609">
        <f>4419000/3</f>
        <v>1473000</v>
      </c>
      <c r="E29" s="1583">
        <f t="shared" si="0"/>
        <v>736500</v>
      </c>
      <c r="F29" s="534"/>
    </row>
    <row r="30" spans="1:8" s="535" customFormat="1" ht="24.95" customHeight="1" x14ac:dyDescent="0.3">
      <c r="A30" s="1593">
        <v>21</v>
      </c>
      <c r="B30" s="612" t="s">
        <v>1008</v>
      </c>
      <c r="C30" s="1362">
        <v>230</v>
      </c>
      <c r="D30" s="609">
        <f>81700/3</f>
        <v>27233.333333333332</v>
      </c>
      <c r="E30" s="1583">
        <f t="shared" si="0"/>
        <v>6263666.666666666</v>
      </c>
      <c r="F30" s="534">
        <f t="shared" si="1"/>
        <v>6264</v>
      </c>
    </row>
    <row r="31" spans="1:8" s="535" customFormat="1" ht="24.95" customHeight="1" x14ac:dyDescent="0.3">
      <c r="A31" s="1593">
        <v>22</v>
      </c>
      <c r="B31" s="613" t="s">
        <v>1009</v>
      </c>
      <c r="C31" s="1362">
        <v>3</v>
      </c>
      <c r="D31" s="609">
        <v>401000</v>
      </c>
      <c r="E31" s="1583">
        <f t="shared" si="0"/>
        <v>1203000</v>
      </c>
      <c r="F31" s="534"/>
    </row>
    <row r="32" spans="1:8" s="535" customFormat="1" ht="43.5" customHeight="1" x14ac:dyDescent="0.3">
      <c r="A32" s="1594">
        <v>23</v>
      </c>
      <c r="B32" s="1442" t="s">
        <v>1094</v>
      </c>
      <c r="C32" s="1444">
        <v>0</v>
      </c>
      <c r="D32" s="609">
        <v>367584</v>
      </c>
      <c r="E32" s="1585">
        <v>0</v>
      </c>
      <c r="F32" s="534"/>
    </row>
    <row r="33" spans="1:8" s="535" customFormat="1" ht="24.95" customHeight="1" thickBot="1" x14ac:dyDescent="0.35">
      <c r="A33" s="1594">
        <v>24</v>
      </c>
      <c r="B33" s="641" t="s">
        <v>79</v>
      </c>
      <c r="C33" s="625">
        <f>190*1.27</f>
        <v>241.3</v>
      </c>
      <c r="D33" s="637">
        <v>116602</v>
      </c>
      <c r="E33" s="1585">
        <f>C33*D33</f>
        <v>28136062.600000001</v>
      </c>
      <c r="F33" s="534">
        <f t="shared" si="1"/>
        <v>28136</v>
      </c>
    </row>
    <row r="34" spans="1:8" s="545" customFormat="1" ht="24.95" customHeight="1" thickBot="1" x14ac:dyDescent="0.25">
      <c r="A34" s="1595">
        <v>25</v>
      </c>
      <c r="B34" s="614" t="s">
        <v>1013</v>
      </c>
      <c r="C34" s="626"/>
      <c r="D34" s="627"/>
      <c r="E34" s="1596">
        <f>SUM(E23:E33)</f>
        <v>165387595.93333334</v>
      </c>
      <c r="F34" s="544">
        <f t="shared" si="1"/>
        <v>165388</v>
      </c>
    </row>
    <row r="35" spans="1:8" ht="24.95" customHeight="1" x14ac:dyDescent="0.3">
      <c r="A35" s="617"/>
      <c r="B35" s="618"/>
      <c r="C35" s="619"/>
      <c r="D35" s="620"/>
      <c r="E35" s="620"/>
    </row>
    <row r="36" spans="1:8" ht="24.95" customHeight="1" x14ac:dyDescent="0.3">
      <c r="A36" s="617"/>
      <c r="B36" s="618"/>
      <c r="C36" s="619"/>
      <c r="D36" s="620"/>
      <c r="E36" s="620"/>
    </row>
    <row r="37" spans="1:8" ht="24.95" customHeight="1" thickBot="1" x14ac:dyDescent="0.3">
      <c r="A37" s="1885" t="s">
        <v>80</v>
      </c>
      <c r="B37" s="1886"/>
      <c r="C37" s="1886"/>
      <c r="D37" s="1886"/>
      <c r="E37" s="1886"/>
      <c r="G37" s="546"/>
    </row>
    <row r="38" spans="1:8" s="548" customFormat="1" ht="42" customHeight="1" x14ac:dyDescent="0.3">
      <c r="A38" s="1604">
        <v>26</v>
      </c>
      <c r="B38" s="1605" t="s">
        <v>1014</v>
      </c>
      <c r="C38" s="1606">
        <f>C8+C23</f>
        <v>45</v>
      </c>
      <c r="D38" s="1607">
        <v>2872000</v>
      </c>
      <c r="E38" s="1608">
        <f>E8+E23</f>
        <v>132570000</v>
      </c>
      <c r="F38" s="547">
        <f t="shared" ref="F38:F49" si="2">ROUND(E38/1000,0)</f>
        <v>132570</v>
      </c>
      <c r="H38" s="549"/>
    </row>
    <row r="39" spans="1:8" s="548" customFormat="1" ht="37.5" x14ac:dyDescent="0.3">
      <c r="A39" s="1582">
        <v>27</v>
      </c>
      <c r="B39" s="611" t="s">
        <v>808</v>
      </c>
      <c r="C39" s="610">
        <f>C9+C24</f>
        <v>30.5</v>
      </c>
      <c r="D39" s="609">
        <f>E39/C39</f>
        <v>1470000</v>
      </c>
      <c r="E39" s="1583">
        <f>E9+E24</f>
        <v>44835000</v>
      </c>
      <c r="F39" s="550">
        <f t="shared" si="2"/>
        <v>44835</v>
      </c>
      <c r="H39" s="549"/>
    </row>
    <row r="40" spans="1:8" s="548" customFormat="1" ht="37.5" x14ac:dyDescent="0.3">
      <c r="A40" s="1582">
        <v>28</v>
      </c>
      <c r="B40" s="611" t="s">
        <v>752</v>
      </c>
      <c r="C40" s="610">
        <v>0.5</v>
      </c>
      <c r="D40" s="609">
        <f>4419000/3*2</f>
        <v>2946000</v>
      </c>
      <c r="E40" s="1583">
        <f>C40*D40</f>
        <v>1473000</v>
      </c>
      <c r="F40" s="550"/>
      <c r="H40" s="549"/>
    </row>
    <row r="41" spans="1:8" s="548" customFormat="1" ht="24.95" customHeight="1" x14ac:dyDescent="0.3">
      <c r="A41" s="1582">
        <v>29</v>
      </c>
      <c r="B41" s="612" t="s">
        <v>1006</v>
      </c>
      <c r="C41" s="610">
        <f>C11+C26</f>
        <v>498</v>
      </c>
      <c r="D41" s="609">
        <f>81700/3*2</f>
        <v>54466.666666666664</v>
      </c>
      <c r="E41" s="1583">
        <f>E11+E26</f>
        <v>27124400</v>
      </c>
      <c r="F41" s="550"/>
      <c r="H41" s="549"/>
    </row>
    <row r="42" spans="1:8" s="548" customFormat="1" ht="41.25" customHeight="1" x14ac:dyDescent="0.3">
      <c r="A42" s="1582">
        <v>30</v>
      </c>
      <c r="B42" s="624" t="s">
        <v>1015</v>
      </c>
      <c r="C42" s="610">
        <f>C12+C27</f>
        <v>42.900000000000006</v>
      </c>
      <c r="D42" s="609">
        <v>1436000</v>
      </c>
      <c r="E42" s="1583">
        <f>E27+E12</f>
        <v>63191700</v>
      </c>
      <c r="F42" s="550">
        <f t="shared" si="2"/>
        <v>63192</v>
      </c>
      <c r="H42" s="549"/>
    </row>
    <row r="43" spans="1:8" s="548" customFormat="1" ht="37.5" x14ac:dyDescent="0.3">
      <c r="A43" s="1582">
        <v>31</v>
      </c>
      <c r="B43" s="612" t="s">
        <v>809</v>
      </c>
      <c r="C43" s="610">
        <f>C13+C28</f>
        <v>30.5</v>
      </c>
      <c r="D43" s="609">
        <v>600000</v>
      </c>
      <c r="E43" s="1583">
        <f>E13+E28</f>
        <v>22417500</v>
      </c>
      <c r="F43" s="550">
        <f t="shared" si="2"/>
        <v>22418</v>
      </c>
      <c r="H43" s="549"/>
    </row>
    <row r="44" spans="1:8" s="548" customFormat="1" ht="37.5" x14ac:dyDescent="0.3">
      <c r="A44" s="1582">
        <v>32</v>
      </c>
      <c r="B44" s="611" t="s">
        <v>753</v>
      </c>
      <c r="C44" s="610">
        <v>0.5</v>
      </c>
      <c r="D44" s="609">
        <f>4419000/3</f>
        <v>1473000</v>
      </c>
      <c r="E44" s="1583">
        <f>C44*D44</f>
        <v>736500</v>
      </c>
      <c r="F44" s="550"/>
      <c r="H44" s="549"/>
    </row>
    <row r="45" spans="1:8" s="548" customFormat="1" ht="24.95" customHeight="1" x14ac:dyDescent="0.3">
      <c r="A45" s="1582">
        <v>33</v>
      </c>
      <c r="B45" s="612" t="s">
        <v>1008</v>
      </c>
      <c r="C45" s="1362">
        <f>C30+C15</f>
        <v>480</v>
      </c>
      <c r="D45" s="609">
        <v>26666.67</v>
      </c>
      <c r="E45" s="1583">
        <f>E30+E15</f>
        <v>13072000</v>
      </c>
      <c r="F45" s="550">
        <f t="shared" si="2"/>
        <v>13072</v>
      </c>
      <c r="H45" s="549"/>
    </row>
    <row r="46" spans="1:8" s="548" customFormat="1" ht="24.95" customHeight="1" x14ac:dyDescent="0.3">
      <c r="A46" s="1582">
        <v>34</v>
      </c>
      <c r="B46" s="613" t="s">
        <v>1009</v>
      </c>
      <c r="C46" s="1362">
        <f>C17+C31</f>
        <v>12</v>
      </c>
      <c r="D46" s="609">
        <v>401000</v>
      </c>
      <c r="E46" s="1583">
        <f>E17+E31</f>
        <v>4812000</v>
      </c>
      <c r="F46" s="550"/>
      <c r="H46" s="549"/>
    </row>
    <row r="47" spans="1:8" s="548" customFormat="1" ht="36.75" customHeight="1" x14ac:dyDescent="0.3">
      <c r="A47" s="1582">
        <v>35</v>
      </c>
      <c r="B47" s="1442" t="s">
        <v>1094</v>
      </c>
      <c r="C47" s="1362">
        <v>1</v>
      </c>
      <c r="D47" s="609">
        <v>367584</v>
      </c>
      <c r="E47" s="1583">
        <v>367584</v>
      </c>
      <c r="F47" s="1445"/>
      <c r="H47" s="549"/>
    </row>
    <row r="48" spans="1:8" s="551" customFormat="1" ht="22.5" customHeight="1" thickBot="1" x14ac:dyDescent="0.35">
      <c r="A48" s="1582">
        <v>36</v>
      </c>
      <c r="B48" s="611" t="s">
        <v>79</v>
      </c>
      <c r="C48" s="1362">
        <f>C33+C19</f>
        <v>494.03</v>
      </c>
      <c r="D48" s="637">
        <v>116602</v>
      </c>
      <c r="E48" s="1583">
        <f>E19+E33</f>
        <v>57604886.060000002</v>
      </c>
      <c r="F48" s="553"/>
      <c r="H48" s="552"/>
    </row>
    <row r="49" spans="1:8" s="555" customFormat="1" ht="24.95" customHeight="1" thickBot="1" x14ac:dyDescent="0.35">
      <c r="A49" s="1597">
        <v>37</v>
      </c>
      <c r="B49" s="1598" t="s">
        <v>672</v>
      </c>
      <c r="C49" s="1599"/>
      <c r="D49" s="1600"/>
      <c r="E49" s="1601">
        <f>E34+E20</f>
        <v>368204570.06</v>
      </c>
      <c r="F49" s="554">
        <f t="shared" si="2"/>
        <v>368205</v>
      </c>
    </row>
    <row r="50" spans="1:8" s="555" customFormat="1" ht="24.95" customHeight="1" x14ac:dyDescent="0.3">
      <c r="A50" s="642"/>
      <c r="B50" s="628"/>
      <c r="C50" s="557"/>
      <c r="D50" s="629"/>
      <c r="E50" s="629"/>
      <c r="F50" s="556"/>
    </row>
    <row r="51" spans="1:8" s="555" customFormat="1" ht="24.95" customHeight="1" thickBot="1" x14ac:dyDescent="0.35">
      <c r="A51" s="1613"/>
      <c r="B51" s="1614" t="s">
        <v>756</v>
      </c>
      <c r="C51" s="1615"/>
      <c r="D51" s="1616"/>
      <c r="E51" s="1616"/>
      <c r="F51" s="556"/>
    </row>
    <row r="52" spans="1:8" s="555" customFormat="1" ht="43.5" customHeight="1" x14ac:dyDescent="0.3">
      <c r="A52" s="1604">
        <v>38</v>
      </c>
      <c r="B52" s="1609" t="s">
        <v>1016</v>
      </c>
      <c r="C52" s="1610">
        <v>1</v>
      </c>
      <c r="D52" s="1611">
        <v>4419000</v>
      </c>
      <c r="E52" s="1612">
        <f>C52*D52</f>
        <v>4419000</v>
      </c>
      <c r="F52" s="556"/>
    </row>
    <row r="53" spans="1:8" s="555" customFormat="1" ht="51" customHeight="1" x14ac:dyDescent="0.3">
      <c r="A53" s="1582">
        <v>39</v>
      </c>
      <c r="B53" s="630" t="s">
        <v>1017</v>
      </c>
      <c r="C53" s="1363">
        <v>2</v>
      </c>
      <c r="D53" s="631">
        <v>2993000</v>
      </c>
      <c r="E53" s="1602">
        <f>C53*D53</f>
        <v>5986000</v>
      </c>
      <c r="F53" s="556"/>
    </row>
    <row r="54" spans="1:8" s="555" customFormat="1" ht="20.25" customHeight="1" x14ac:dyDescent="0.3">
      <c r="A54" s="1582">
        <v>37</v>
      </c>
      <c r="B54" s="630" t="s">
        <v>1018</v>
      </c>
      <c r="C54" s="1363"/>
      <c r="D54" s="631"/>
      <c r="E54" s="1602">
        <v>2790000</v>
      </c>
      <c r="F54" s="556"/>
    </row>
    <row r="55" spans="1:8" s="555" customFormat="1" ht="24.95" customHeight="1" x14ac:dyDescent="0.3">
      <c r="A55" s="1582">
        <v>40</v>
      </c>
      <c r="B55" s="643" t="s">
        <v>79</v>
      </c>
      <c r="C55" s="1363">
        <f>13*1.51</f>
        <v>19.63</v>
      </c>
      <c r="D55" s="637">
        <v>116602</v>
      </c>
      <c r="E55" s="1602">
        <f>C55*D55</f>
        <v>2288897.2599999998</v>
      </c>
      <c r="F55" s="556"/>
    </row>
    <row r="56" spans="1:8" s="555" customFormat="1" ht="24.95" customHeight="1" thickBot="1" x14ac:dyDescent="0.35">
      <c r="A56" s="1603">
        <v>41</v>
      </c>
      <c r="B56" s="1598" t="s">
        <v>1019</v>
      </c>
      <c r="C56" s="1599"/>
      <c r="D56" s="1600"/>
      <c r="E56" s="1601">
        <f>SUM(E52:E55)</f>
        <v>15483897.26</v>
      </c>
      <c r="F56" s="556"/>
    </row>
    <row r="57" spans="1:8" s="532" customFormat="1" ht="24.95" customHeight="1" x14ac:dyDescent="0.3">
      <c r="A57" s="633"/>
      <c r="B57" s="628"/>
      <c r="C57" s="557"/>
      <c r="D57" s="558"/>
      <c r="E57" s="558"/>
      <c r="F57" s="531"/>
      <c r="H57" s="531"/>
    </row>
    <row r="58" spans="1:8" s="531" customFormat="1" ht="24.95" customHeight="1" thickBot="1" x14ac:dyDescent="0.35">
      <c r="A58" s="606"/>
      <c r="B58" s="644" t="s">
        <v>757</v>
      </c>
      <c r="C58" s="632"/>
      <c r="D58" s="634"/>
      <c r="E58" s="529"/>
      <c r="F58" s="540"/>
      <c r="G58" s="540"/>
    </row>
    <row r="59" spans="1:8" s="524" customFormat="1" ht="24.95" customHeight="1" thickBot="1" x14ac:dyDescent="0.35">
      <c r="A59" s="1617">
        <v>42</v>
      </c>
      <c r="B59" s="1618" t="s">
        <v>81</v>
      </c>
      <c r="C59" s="1619">
        <v>325</v>
      </c>
      <c r="D59" s="1620">
        <v>116602</v>
      </c>
      <c r="E59" s="1621">
        <f>C59*D59</f>
        <v>37895650</v>
      </c>
      <c r="F59" s="559">
        <f>ROUND(E59/1000,0)</f>
        <v>37896</v>
      </c>
    </row>
    <row r="60" spans="1:8" s="561" customFormat="1" x14ac:dyDescent="0.3">
      <c r="A60" s="1622"/>
      <c r="B60" s="1623"/>
      <c r="C60" s="1624"/>
      <c r="D60" s="1625"/>
      <c r="E60" s="1625"/>
      <c r="F60" s="560"/>
      <c r="H60" s="562"/>
    </row>
    <row r="61" spans="1:8" ht="24.95" customHeight="1" x14ac:dyDescent="0.3">
      <c r="A61" s="606"/>
      <c r="B61" s="628"/>
      <c r="C61" s="557"/>
      <c r="D61" s="558"/>
      <c r="E61" s="1626"/>
      <c r="F61" s="568">
        <f>(34466000+63673306)/(C72+C59+C55+C48)</f>
        <v>116602.0792243899</v>
      </c>
    </row>
    <row r="62" spans="1:8" ht="24.95" customHeight="1" thickBot="1" x14ac:dyDescent="0.35">
      <c r="A62" s="606"/>
      <c r="B62" s="644" t="s">
        <v>82</v>
      </c>
      <c r="C62" s="557"/>
    </row>
    <row r="63" spans="1:8" s="564" customFormat="1" ht="24.95" customHeight="1" x14ac:dyDescent="0.3">
      <c r="A63" s="1627">
        <v>43</v>
      </c>
      <c r="B63" s="1628" t="s">
        <v>758</v>
      </c>
      <c r="C63" s="1629"/>
      <c r="D63" s="1630">
        <v>3400000</v>
      </c>
      <c r="E63" s="1631">
        <v>16320000</v>
      </c>
      <c r="F63" s="563">
        <f t="shared" ref="F63:F73" si="3">ROUND(E63/1000,0)</f>
        <v>16320</v>
      </c>
    </row>
    <row r="64" spans="1:8" s="564" customFormat="1" ht="24.95" customHeight="1" x14ac:dyDescent="0.3">
      <c r="A64" s="1632">
        <v>44</v>
      </c>
      <c r="B64" s="635" t="s">
        <v>759</v>
      </c>
      <c r="C64" s="636"/>
      <c r="D64" s="637">
        <v>3400000</v>
      </c>
      <c r="E64" s="1633">
        <v>22110000</v>
      </c>
      <c r="F64" s="563">
        <f t="shared" si="3"/>
        <v>22110</v>
      </c>
    </row>
    <row r="65" spans="1:8" s="564" customFormat="1" ht="24.95" customHeight="1" x14ac:dyDescent="0.3">
      <c r="A65" s="1632">
        <v>45</v>
      </c>
      <c r="B65" s="635" t="s">
        <v>83</v>
      </c>
      <c r="C65" s="1364">
        <v>72</v>
      </c>
      <c r="D65" s="637">
        <v>55360</v>
      </c>
      <c r="E65" s="1633">
        <f t="shared" ref="E65:E70" si="4">C65*D65</f>
        <v>3985920</v>
      </c>
      <c r="F65" s="563">
        <f t="shared" si="3"/>
        <v>3986</v>
      </c>
    </row>
    <row r="66" spans="1:8" s="564" customFormat="1" ht="24.95" customHeight="1" x14ac:dyDescent="0.3">
      <c r="A66" s="1632">
        <v>46</v>
      </c>
      <c r="B66" s="635" t="s">
        <v>1020</v>
      </c>
      <c r="C66" s="1364">
        <v>2</v>
      </c>
      <c r="D66" s="637">
        <v>25000</v>
      </c>
      <c r="E66" s="1633">
        <f t="shared" si="4"/>
        <v>50000</v>
      </c>
      <c r="F66" s="563"/>
    </row>
    <row r="67" spans="1:8" s="564" customFormat="1" ht="24.95" customHeight="1" x14ac:dyDescent="0.3">
      <c r="A67" s="1632">
        <v>47</v>
      </c>
      <c r="B67" s="635" t="s">
        <v>1021</v>
      </c>
      <c r="C67" s="1364">
        <v>13</v>
      </c>
      <c r="D67" s="637">
        <v>429000</v>
      </c>
      <c r="E67" s="1633">
        <f t="shared" si="4"/>
        <v>5577000</v>
      </c>
      <c r="F67" s="563">
        <f t="shared" si="3"/>
        <v>5577</v>
      </c>
    </row>
    <row r="68" spans="1:8" s="564" customFormat="1" ht="24.95" customHeight="1" x14ac:dyDescent="0.3">
      <c r="A68" s="1632">
        <v>48</v>
      </c>
      <c r="B68" s="635" t="s">
        <v>760</v>
      </c>
      <c r="C68" s="1364">
        <v>28</v>
      </c>
      <c r="D68" s="637">
        <v>163500</v>
      </c>
      <c r="E68" s="1633">
        <f t="shared" si="4"/>
        <v>4578000</v>
      </c>
      <c r="F68" s="563">
        <f t="shared" si="3"/>
        <v>4578</v>
      </c>
    </row>
    <row r="69" spans="1:8" s="564" customFormat="1" ht="24.95" customHeight="1" x14ac:dyDescent="0.3">
      <c r="A69" s="1632">
        <v>49</v>
      </c>
      <c r="B69" s="635" t="s">
        <v>84</v>
      </c>
      <c r="C69" s="1364">
        <v>9</v>
      </c>
      <c r="D69" s="637">
        <v>550000</v>
      </c>
      <c r="E69" s="1633">
        <f t="shared" si="4"/>
        <v>4950000</v>
      </c>
      <c r="F69" s="563">
        <f t="shared" si="3"/>
        <v>4950</v>
      </c>
    </row>
    <row r="70" spans="1:8" s="564" customFormat="1" ht="37.5" x14ac:dyDescent="0.3">
      <c r="A70" s="1632">
        <v>50</v>
      </c>
      <c r="B70" s="635" t="s">
        <v>761</v>
      </c>
      <c r="C70" s="1364">
        <v>3</v>
      </c>
      <c r="D70" s="637">
        <v>2848000</v>
      </c>
      <c r="E70" s="1633">
        <f t="shared" si="4"/>
        <v>8544000</v>
      </c>
      <c r="F70" s="563">
        <f t="shared" si="3"/>
        <v>8544</v>
      </c>
    </row>
    <row r="71" spans="1:8" s="564" customFormat="1" ht="24.95" customHeight="1" x14ac:dyDescent="0.3">
      <c r="A71" s="1632">
        <v>51</v>
      </c>
      <c r="B71" s="635" t="s">
        <v>762</v>
      </c>
      <c r="C71" s="1364"/>
      <c r="D71" s="637"/>
      <c r="E71" s="1633">
        <v>2726000</v>
      </c>
      <c r="F71" s="563">
        <f t="shared" si="3"/>
        <v>2726</v>
      </c>
    </row>
    <row r="72" spans="1:8" s="564" customFormat="1" ht="24.95" customHeight="1" x14ac:dyDescent="0.3">
      <c r="A72" s="1632">
        <v>52</v>
      </c>
      <c r="B72" s="643" t="s">
        <v>81</v>
      </c>
      <c r="C72" s="1364">
        <v>3</v>
      </c>
      <c r="D72" s="637">
        <v>116602</v>
      </c>
      <c r="E72" s="1633">
        <f>C72*D72</f>
        <v>349806</v>
      </c>
      <c r="F72" s="563">
        <f>ROUND(E72/1000,0)</f>
        <v>350</v>
      </c>
    </row>
    <row r="73" spans="1:8" s="564" customFormat="1" ht="24.75" customHeight="1" thickBot="1" x14ac:dyDescent="0.35">
      <c r="A73" s="1603">
        <v>53</v>
      </c>
      <c r="B73" s="1634" t="s">
        <v>100</v>
      </c>
      <c r="C73" s="1635"/>
      <c r="D73" s="1636"/>
      <c r="E73" s="1637">
        <f>SUM(E63:E72)</f>
        <v>69190726</v>
      </c>
      <c r="F73" s="565">
        <f t="shared" si="3"/>
        <v>69191</v>
      </c>
      <c r="G73" s="563"/>
    </row>
    <row r="74" spans="1:8" x14ac:dyDescent="0.3">
      <c r="A74" s="566"/>
      <c r="B74" s="566"/>
      <c r="G74" s="523" t="s">
        <v>101</v>
      </c>
    </row>
    <row r="75" spans="1:8" x14ac:dyDescent="0.3">
      <c r="H75" s="569"/>
    </row>
    <row r="76" spans="1:8" ht="22.5" x14ac:dyDescent="0.3">
      <c r="B76" s="1365" t="s">
        <v>1022</v>
      </c>
    </row>
    <row r="77" spans="1:8" ht="19.5" thickBot="1" x14ac:dyDescent="0.35"/>
    <row r="78" spans="1:8" x14ac:dyDescent="0.3">
      <c r="A78" s="1627">
        <v>54</v>
      </c>
      <c r="B78" s="1638" t="s">
        <v>1023</v>
      </c>
      <c r="C78" s="1639"/>
      <c r="D78" s="1640"/>
      <c r="E78" s="1641">
        <v>17497810</v>
      </c>
    </row>
    <row r="79" spans="1:8" ht="19.5" thickBot="1" x14ac:dyDescent="0.35">
      <c r="A79" s="1603">
        <v>55</v>
      </c>
      <c r="B79" s="1642" t="s">
        <v>1024</v>
      </c>
      <c r="C79" s="1643"/>
      <c r="D79" s="1644"/>
      <c r="E79" s="1645">
        <v>17497810</v>
      </c>
    </row>
  </sheetData>
  <mergeCells count="4">
    <mergeCell ref="A1:E1"/>
    <mergeCell ref="A2:E2"/>
    <mergeCell ref="A3:E3"/>
    <mergeCell ref="A37:E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 alignWithMargins="0"/>
  <rowBreaks count="1" manualBreakCount="1">
    <brk id="36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FF0000"/>
    <pageSetUpPr fitToPage="1"/>
  </sheetPr>
  <dimension ref="A1:N51"/>
  <sheetViews>
    <sheetView view="pageBreakPreview" zoomScale="90" zoomScaleSheetLayoutView="90" workbookViewId="0">
      <selection sqref="A1:G1"/>
    </sheetView>
  </sheetViews>
  <sheetFormatPr defaultRowHeight="15.75" x14ac:dyDescent="0.25"/>
  <cols>
    <col min="1" max="1" width="9.140625" style="5"/>
    <col min="2" max="2" width="14.5703125" style="5" customWidth="1"/>
    <col min="3" max="3" width="85.7109375" style="5" customWidth="1"/>
    <col min="4" max="4" width="23.5703125" style="5" customWidth="1"/>
    <col min="5" max="5" width="23.140625" style="5" customWidth="1"/>
    <col min="6" max="6" width="24.28515625" style="5" customWidth="1"/>
    <col min="7" max="7" width="23" style="5" customWidth="1"/>
    <col min="8" max="9" width="13.28515625" style="5" hidden="1" customWidth="1"/>
    <col min="10" max="10" width="14.7109375" style="5" hidden="1" customWidth="1"/>
    <col min="11" max="11" width="12.5703125" style="5" hidden="1" customWidth="1"/>
    <col min="12" max="12" width="12.140625" style="5" hidden="1" customWidth="1"/>
    <col min="13" max="14" width="0" style="5" hidden="1" customWidth="1"/>
    <col min="15" max="241" width="9.140625" style="5"/>
    <col min="242" max="242" width="92.5703125" style="5" customWidth="1"/>
    <col min="243" max="243" width="9.140625" style="5"/>
    <col min="244" max="244" width="16.42578125" style="5" customWidth="1"/>
    <col min="245" max="245" width="16" style="5" customWidth="1"/>
    <col min="246" max="246" width="16.7109375" style="5" customWidth="1"/>
    <col min="247" max="247" width="14.7109375" style="5" customWidth="1"/>
    <col min="248" max="16384" width="9.140625" style="5"/>
  </cols>
  <sheetData>
    <row r="1" spans="1:14" ht="21" x14ac:dyDescent="0.35">
      <c r="A1" s="1824" t="str">
        <f>Tartalomjegyzék_2018!A1</f>
        <v>Pilisvörösvár Város Önkormányzata Képviselő-testületének 2/2018. (II. 9.) önkormányzati rendelete</v>
      </c>
      <c r="B1" s="1826"/>
      <c r="C1" s="1826"/>
      <c r="D1" s="1826"/>
      <c r="E1" s="1826"/>
      <c r="F1" s="1826"/>
      <c r="G1" s="1827"/>
    </row>
    <row r="2" spans="1:14" ht="21" customHeight="1" x14ac:dyDescent="0.3">
      <c r="A2" s="772"/>
      <c r="B2" s="1824" t="str">
        <f>Tartalomjegyzék_2018!A2</f>
        <v>az Önkormányzat  2018. évi költségvetéséről</v>
      </c>
      <c r="C2" s="1824"/>
      <c r="D2" s="1824"/>
      <c r="E2" s="1824"/>
      <c r="F2" s="1824"/>
      <c r="G2" s="772"/>
    </row>
    <row r="3" spans="1:14" ht="21" customHeight="1" x14ac:dyDescent="0.3">
      <c r="A3" s="1824" t="str">
        <f>Tartalomjegyzék_2018!B22</f>
        <v>Pilisvörösvár Város Önkormányzata és a Pilisvörösvári Polgármesteri Hivatal közhatalmi és működési bevételei</v>
      </c>
      <c r="B3" s="1824"/>
      <c r="C3" s="1824"/>
      <c r="D3" s="1824"/>
      <c r="E3" s="1824"/>
      <c r="F3" s="1824"/>
      <c r="G3" s="1824"/>
    </row>
    <row r="4" spans="1:14" ht="23.25" customHeight="1" x14ac:dyDescent="0.3">
      <c r="A4" s="710"/>
      <c r="B4" s="710"/>
      <c r="C4" s="710"/>
      <c r="D4" s="710"/>
      <c r="E4" s="1072"/>
      <c r="G4" s="990" t="s">
        <v>813</v>
      </c>
    </row>
    <row r="5" spans="1:14" ht="20.25" x14ac:dyDescent="0.25">
      <c r="C5" s="23"/>
      <c r="G5" s="1036"/>
    </row>
    <row r="6" spans="1:14" ht="21" thickBot="1" x14ac:dyDescent="0.35">
      <c r="G6" s="991" t="s">
        <v>329</v>
      </c>
    </row>
    <row r="7" spans="1:14" ht="82.5" customHeight="1" thickBot="1" x14ac:dyDescent="0.3">
      <c r="A7" s="1041" t="s">
        <v>3</v>
      </c>
      <c r="B7" s="1712" t="s">
        <v>370</v>
      </c>
      <c r="C7" s="910" t="s">
        <v>369</v>
      </c>
      <c r="D7" s="911" t="str">
        <f>'2.Bevételek_részletes'!C7</f>
        <v>Önkormányzat 2017. évi eredeti előirányzat</v>
      </c>
      <c r="E7" s="911" t="str">
        <f>'2.Bevételek_részletes'!D7</f>
        <v>Önkormányzat 2018. évi eredeti előirányzat</v>
      </c>
      <c r="F7" s="911" t="str">
        <f>'2.Bevételek_részletes'!E7</f>
        <v>Polgármesteri Hivatal 2017. évi eredeti előirányzat</v>
      </c>
      <c r="G7" s="1234" t="str">
        <f>'2.Bevételek_részletes'!F7</f>
        <v>Polgármesteri Hivatal 2018. évi eredeti előirányzat</v>
      </c>
      <c r="H7" s="64"/>
    </row>
    <row r="8" spans="1:14" ht="24" thickBot="1" x14ac:dyDescent="0.4">
      <c r="A8" s="1713">
        <v>1</v>
      </c>
      <c r="B8" s="1714" t="s">
        <v>109</v>
      </c>
      <c r="C8" s="335" t="s">
        <v>103</v>
      </c>
      <c r="D8" s="912">
        <v>86000</v>
      </c>
      <c r="E8" s="1314">
        <v>84500</v>
      </c>
      <c r="F8" s="912"/>
      <c r="G8" s="1235"/>
      <c r="I8" s="508"/>
      <c r="J8" s="4"/>
      <c r="K8" s="4"/>
      <c r="L8" s="4"/>
      <c r="M8" s="4"/>
      <c r="N8" s="4"/>
    </row>
    <row r="9" spans="1:14" s="23" customFormat="1" ht="24" thickBot="1" x14ac:dyDescent="0.4">
      <c r="A9" s="1715">
        <v>2</v>
      </c>
      <c r="B9" s="1716" t="s">
        <v>153</v>
      </c>
      <c r="C9" s="913" t="s">
        <v>152</v>
      </c>
      <c r="D9" s="914">
        <f>SUM(D8)</f>
        <v>86000</v>
      </c>
      <c r="E9" s="1646">
        <f>SUM(E8)</f>
        <v>84500</v>
      </c>
      <c r="F9" s="914"/>
      <c r="G9" s="1236">
        <f>SUM(G8)</f>
        <v>0</v>
      </c>
      <c r="H9" s="781"/>
      <c r="I9" s="782"/>
      <c r="J9" s="782"/>
      <c r="K9" s="782"/>
      <c r="L9" s="782"/>
      <c r="M9" s="782"/>
      <c r="N9" s="782"/>
    </row>
    <row r="10" spans="1:14" s="24" customFormat="1" ht="23.25" x14ac:dyDescent="0.35">
      <c r="A10" s="1717">
        <v>3</v>
      </c>
      <c r="B10" s="1718" t="s">
        <v>110</v>
      </c>
      <c r="C10" s="915" t="s">
        <v>104</v>
      </c>
      <c r="D10" s="916">
        <v>488000</v>
      </c>
      <c r="E10" s="916">
        <v>530000</v>
      </c>
      <c r="F10" s="916"/>
      <c r="G10" s="1237"/>
      <c r="I10" s="4"/>
      <c r="J10" s="578"/>
      <c r="K10" s="578"/>
      <c r="L10" s="578"/>
      <c r="M10" s="578"/>
      <c r="N10" s="4"/>
    </row>
    <row r="11" spans="1:14" s="24" customFormat="1" ht="23.25" x14ac:dyDescent="0.35">
      <c r="A11" s="1717">
        <v>4</v>
      </c>
      <c r="B11" s="1718" t="s">
        <v>391</v>
      </c>
      <c r="C11" s="915" t="s">
        <v>390</v>
      </c>
      <c r="D11" s="916">
        <v>51000</v>
      </c>
      <c r="E11" s="916">
        <v>55500</v>
      </c>
      <c r="F11" s="916"/>
      <c r="G11" s="1237"/>
      <c r="I11" s="4"/>
      <c r="J11" s="578"/>
      <c r="K11" s="578"/>
      <c r="L11" s="578"/>
      <c r="M11" s="578"/>
      <c r="N11" s="4"/>
    </row>
    <row r="12" spans="1:14" s="24" customFormat="1" ht="24" thickBot="1" x14ac:dyDescent="0.4">
      <c r="A12" s="1717">
        <v>5</v>
      </c>
      <c r="B12" s="1718" t="s">
        <v>872</v>
      </c>
      <c r="C12" s="915" t="s">
        <v>909</v>
      </c>
      <c r="D12" s="916">
        <v>1400</v>
      </c>
      <c r="E12" s="916">
        <v>2000</v>
      </c>
      <c r="F12" s="916"/>
      <c r="G12" s="1237"/>
      <c r="I12" s="4"/>
      <c r="J12" s="578"/>
      <c r="K12" s="578"/>
      <c r="L12" s="578"/>
      <c r="M12" s="578"/>
      <c r="N12" s="4"/>
    </row>
    <row r="13" spans="1:14" s="23" customFormat="1" ht="24" thickBot="1" x14ac:dyDescent="0.4">
      <c r="A13" s="1715">
        <v>6</v>
      </c>
      <c r="B13" s="1716" t="s">
        <v>111</v>
      </c>
      <c r="C13" s="913" t="s">
        <v>112</v>
      </c>
      <c r="D13" s="914">
        <f>SUM(D10:D12)</f>
        <v>540400</v>
      </c>
      <c r="E13" s="1646">
        <f>SUM(E10:E12)</f>
        <v>587500</v>
      </c>
      <c r="F13" s="914">
        <f>SUM(F10:F11)</f>
        <v>0</v>
      </c>
      <c r="G13" s="1236">
        <f>SUM(G10:G12)</f>
        <v>0</v>
      </c>
      <c r="H13" s="781"/>
      <c r="I13" s="782"/>
      <c r="J13" s="782"/>
      <c r="K13" s="782"/>
      <c r="L13" s="782"/>
      <c r="M13" s="782"/>
      <c r="N13" s="782"/>
    </row>
    <row r="14" spans="1:14" ht="23.25" x14ac:dyDescent="0.35">
      <c r="A14" s="1713">
        <v>7</v>
      </c>
      <c r="B14" s="1714" t="s">
        <v>113</v>
      </c>
      <c r="C14" s="335" t="s">
        <v>106</v>
      </c>
      <c r="D14" s="912">
        <v>0</v>
      </c>
      <c r="E14" s="1314"/>
      <c r="F14" s="912">
        <v>600</v>
      </c>
      <c r="G14" s="1235">
        <v>357</v>
      </c>
      <c r="H14" s="26"/>
      <c r="I14" s="4"/>
      <c r="J14" s="4"/>
      <c r="K14" s="4"/>
      <c r="L14" s="4"/>
      <c r="M14" s="4"/>
      <c r="N14" s="4"/>
    </row>
    <row r="15" spans="1:14" ht="23.25" x14ac:dyDescent="0.35">
      <c r="A15" s="1719">
        <v>8</v>
      </c>
      <c r="B15" s="1720" t="s">
        <v>149</v>
      </c>
      <c r="C15" s="307" t="s">
        <v>150</v>
      </c>
      <c r="D15" s="912">
        <v>0</v>
      </c>
      <c r="E15" s="1314"/>
      <c r="F15" s="912">
        <v>100</v>
      </c>
      <c r="G15" s="1235">
        <f>431</f>
        <v>431</v>
      </c>
    </row>
    <row r="16" spans="1:14" ht="23.25" customHeight="1" x14ac:dyDescent="0.35">
      <c r="A16" s="1719">
        <v>9</v>
      </c>
      <c r="B16" s="1720" t="s">
        <v>114</v>
      </c>
      <c r="C16" s="307" t="s">
        <v>1095</v>
      </c>
      <c r="D16" s="912">
        <v>1000</v>
      </c>
      <c r="E16" s="1314">
        <f>400+1000</f>
        <v>1400</v>
      </c>
      <c r="F16" s="912"/>
      <c r="G16" s="1235"/>
    </row>
    <row r="17" spans="1:11" ht="23.25" x14ac:dyDescent="0.35">
      <c r="A17" s="1719">
        <v>10</v>
      </c>
      <c r="B17" s="1721" t="s">
        <v>115</v>
      </c>
      <c r="C17" s="918" t="s">
        <v>105</v>
      </c>
      <c r="D17" s="912">
        <v>4000</v>
      </c>
      <c r="E17" s="1314">
        <v>1500</v>
      </c>
      <c r="F17" s="912"/>
      <c r="G17" s="1235"/>
    </row>
    <row r="18" spans="1:11" ht="24" thickBot="1" x14ac:dyDescent="0.4">
      <c r="A18" s="1722">
        <v>11</v>
      </c>
      <c r="B18" s="1718" t="s">
        <v>872</v>
      </c>
      <c r="C18" s="915" t="s">
        <v>871</v>
      </c>
      <c r="D18" s="916">
        <v>100</v>
      </c>
      <c r="E18" s="1647">
        <v>1500</v>
      </c>
      <c r="F18" s="916"/>
      <c r="G18" s="1237"/>
    </row>
    <row r="19" spans="1:11" s="23" customFormat="1" ht="24" thickBot="1" x14ac:dyDescent="0.4">
      <c r="A19" s="1715">
        <v>12</v>
      </c>
      <c r="B19" s="1716" t="s">
        <v>392</v>
      </c>
      <c r="C19" s="913" t="s">
        <v>107</v>
      </c>
      <c r="D19" s="914">
        <f>SUM(D14:D18)</f>
        <v>5100</v>
      </c>
      <c r="E19" s="1646">
        <f>SUM(E14:E18)</f>
        <v>4400</v>
      </c>
      <c r="F19" s="914">
        <f t="shared" ref="F19" si="0">SUM(F14:F17)</f>
        <v>700</v>
      </c>
      <c r="G19" s="1236">
        <f>SUM(G14:G17)</f>
        <v>788</v>
      </c>
      <c r="H19" s="781"/>
    </row>
    <row r="20" spans="1:11" ht="23.25" thickBot="1" x14ac:dyDescent="0.35">
      <c r="A20" s="1723">
        <v>13</v>
      </c>
      <c r="B20" s="1724" t="s">
        <v>394</v>
      </c>
      <c r="C20" s="919" t="s">
        <v>393</v>
      </c>
      <c r="D20" s="920">
        <f>D9+D13+D19</f>
        <v>631500</v>
      </c>
      <c r="E20" s="920">
        <f>E9+E13+E19</f>
        <v>676400</v>
      </c>
      <c r="F20" s="920">
        <f>F9+F13+F19</f>
        <v>700</v>
      </c>
      <c r="G20" s="1238">
        <f>G9+G13+G19</f>
        <v>788</v>
      </c>
    </row>
    <row r="21" spans="1:11" ht="23.25" x14ac:dyDescent="0.35">
      <c r="A21" s="1719">
        <v>14</v>
      </c>
      <c r="B21" s="1720"/>
      <c r="C21" s="307" t="s">
        <v>2</v>
      </c>
      <c r="D21" s="917">
        <v>300</v>
      </c>
      <c r="E21" s="1314">
        <v>600</v>
      </c>
      <c r="F21" s="1647">
        <v>0</v>
      </c>
      <c r="G21" s="1648"/>
    </row>
    <row r="22" spans="1:11" s="6" customFormat="1" ht="23.25" x14ac:dyDescent="0.35">
      <c r="A22" s="1722">
        <v>15</v>
      </c>
      <c r="B22" s="1725"/>
      <c r="C22" s="800" t="s">
        <v>891</v>
      </c>
      <c r="D22" s="917">
        <v>0</v>
      </c>
      <c r="E22" s="1314"/>
      <c r="F22" s="1647">
        <f>3400*1.05</f>
        <v>3570</v>
      </c>
      <c r="G22" s="1648">
        <v>3824</v>
      </c>
    </row>
    <row r="23" spans="1:11" s="6" customFormat="1" ht="24" thickBot="1" x14ac:dyDescent="0.4">
      <c r="A23" s="1726">
        <v>16</v>
      </c>
      <c r="B23" s="1721"/>
      <c r="C23" s="918" t="s">
        <v>931</v>
      </c>
      <c r="D23" s="912">
        <f>(2488)*1.004+24+350</f>
        <v>2871.9520000000002</v>
      </c>
      <c r="E23" s="1314">
        <f>1600+432+293</f>
        <v>2325</v>
      </c>
      <c r="F23" s="1314"/>
      <c r="G23" s="1241"/>
    </row>
    <row r="24" spans="1:11" s="6" customFormat="1" ht="24" thickBot="1" x14ac:dyDescent="0.4">
      <c r="A24" s="1727">
        <v>17</v>
      </c>
      <c r="B24" s="1728" t="s">
        <v>123</v>
      </c>
      <c r="C24" s="334" t="s">
        <v>395</v>
      </c>
      <c r="D24" s="922">
        <f t="shared" ref="D24:G24" si="1">SUM(D21:D23)</f>
        <v>3171.9520000000002</v>
      </c>
      <c r="E24" s="922">
        <f t="shared" si="1"/>
        <v>2925</v>
      </c>
      <c r="F24" s="922">
        <f t="shared" si="1"/>
        <v>3570</v>
      </c>
      <c r="G24" s="1239">
        <f t="shared" si="1"/>
        <v>3824</v>
      </c>
    </row>
    <row r="25" spans="1:11" s="1318" customFormat="1" ht="37.5" x14ac:dyDescent="0.2">
      <c r="A25" s="1713">
        <v>18</v>
      </c>
      <c r="B25" s="1729"/>
      <c r="C25" s="1316" t="s">
        <v>994</v>
      </c>
      <c r="D25" s="1317">
        <f>5000+17048+420+4199+4500+2000+(10*367200)/1000+(10*150000)/1000</f>
        <v>38339</v>
      </c>
      <c r="E25" s="1649">
        <f>26033+377+4436+1746+42+2369+440+2070</f>
        <v>37513</v>
      </c>
      <c r="F25" s="1649"/>
      <c r="G25" s="1650"/>
    </row>
    <row r="26" spans="1:11" s="6" customFormat="1" ht="23.25" x14ac:dyDescent="0.35">
      <c r="A26" s="1719">
        <v>19</v>
      </c>
      <c r="B26" s="1720"/>
      <c r="C26" s="307" t="s">
        <v>124</v>
      </c>
      <c r="D26" s="917">
        <f>7634+2062+1292</f>
        <v>10988</v>
      </c>
      <c r="E26" s="1647">
        <f>8395+2667+1327</f>
        <v>12389</v>
      </c>
      <c r="F26" s="1647"/>
      <c r="G26" s="1648"/>
    </row>
    <row r="27" spans="1:11" s="6" customFormat="1" ht="23.25" x14ac:dyDescent="0.35">
      <c r="A27" s="1713">
        <v>20</v>
      </c>
      <c r="B27" s="1720"/>
      <c r="C27" s="307" t="s">
        <v>839</v>
      </c>
      <c r="D27" s="912">
        <f>(12*20000+17717*4)*1.27/1000</f>
        <v>394.80235999999996</v>
      </c>
      <c r="E27" s="1314">
        <f>(12*20000+17717*4)*1.27/1000</f>
        <v>394.80235999999996</v>
      </c>
      <c r="F27" s="1314"/>
      <c r="G27" s="1241"/>
    </row>
    <row r="28" spans="1:11" s="6" customFormat="1" ht="23.25" x14ac:dyDescent="0.35">
      <c r="A28" s="1719">
        <v>21</v>
      </c>
      <c r="B28" s="1720"/>
      <c r="C28" s="307" t="s">
        <v>892</v>
      </c>
      <c r="D28" s="912"/>
      <c r="E28" s="1314"/>
      <c r="F28" s="1314">
        <f>1005*1.27</f>
        <v>1276.3499999999999</v>
      </c>
      <c r="G28" s="1241">
        <f>1220*1.27</f>
        <v>1549.4</v>
      </c>
    </row>
    <row r="29" spans="1:11" s="6" customFormat="1" ht="23.25" x14ac:dyDescent="0.35">
      <c r="A29" s="1713">
        <v>22</v>
      </c>
      <c r="B29" s="1720"/>
      <c r="C29" s="307" t="s">
        <v>671</v>
      </c>
      <c r="D29" s="912"/>
      <c r="E29" s="1314"/>
      <c r="F29" s="1314">
        <f>6178+1007</f>
        <v>7185</v>
      </c>
      <c r="G29" s="1241">
        <f>7154+924</f>
        <v>8078</v>
      </c>
    </row>
    <row r="30" spans="1:11" s="6" customFormat="1" ht="23.25" x14ac:dyDescent="0.35">
      <c r="A30" s="1719">
        <v>23</v>
      </c>
      <c r="B30" s="1720"/>
      <c r="C30" s="307" t="s">
        <v>729</v>
      </c>
      <c r="D30" s="912"/>
      <c r="E30" s="1314"/>
      <c r="F30" s="1314">
        <f>4877+795</f>
        <v>5672</v>
      </c>
      <c r="G30" s="1241">
        <f>4552+588</f>
        <v>5140</v>
      </c>
      <c r="K30"/>
    </row>
    <row r="31" spans="1:11" s="6" customFormat="1" ht="23.25" x14ac:dyDescent="0.35">
      <c r="A31" s="1713">
        <v>24</v>
      </c>
      <c r="B31" s="1720"/>
      <c r="C31" s="307" t="s">
        <v>727</v>
      </c>
      <c r="D31" s="912"/>
      <c r="E31" s="1314"/>
      <c r="F31" s="1314">
        <f>5009+819</f>
        <v>5828</v>
      </c>
      <c r="G31" s="1241">
        <f>5009+649</f>
        <v>5658</v>
      </c>
      <c r="K31"/>
    </row>
    <row r="32" spans="1:11" s="24" customFormat="1" ht="23.25" x14ac:dyDescent="0.35">
      <c r="A32" s="1719">
        <v>25</v>
      </c>
      <c r="B32" s="1720"/>
      <c r="C32" s="307" t="s">
        <v>728</v>
      </c>
      <c r="D32" s="912"/>
      <c r="E32" s="1314"/>
      <c r="F32" s="1314">
        <f>813+133</f>
        <v>946</v>
      </c>
      <c r="G32" s="1241">
        <f>976+126</f>
        <v>1102</v>
      </c>
      <c r="H32" s="25">
        <f>SUM(F29:F32)</f>
        <v>19631</v>
      </c>
      <c r="K32"/>
    </row>
    <row r="33" spans="1:12" s="24" customFormat="1" ht="24" thickBot="1" x14ac:dyDescent="0.4">
      <c r="A33" s="1713">
        <v>26</v>
      </c>
      <c r="B33" s="1721"/>
      <c r="C33" s="307" t="s">
        <v>879</v>
      </c>
      <c r="D33" s="797"/>
      <c r="E33" s="1314">
        <v>0</v>
      </c>
      <c r="F33" s="797">
        <f>47206*1.004+4761</f>
        <v>52155.824000000001</v>
      </c>
      <c r="G33" s="1651">
        <f>56945+23473+1125</f>
        <v>81543</v>
      </c>
      <c r="H33" s="25"/>
    </row>
    <row r="34" spans="1:12" s="6" customFormat="1" ht="24" thickBot="1" x14ac:dyDescent="0.4">
      <c r="A34" s="1727">
        <v>27</v>
      </c>
      <c r="B34" s="1730" t="s">
        <v>908</v>
      </c>
      <c r="C34" s="334" t="s">
        <v>125</v>
      </c>
      <c r="D34" s="922">
        <f t="shared" ref="D34:G34" si="2">SUM(D25:D33)</f>
        <v>49721.802360000001</v>
      </c>
      <c r="E34" s="922">
        <f t="shared" si="2"/>
        <v>50296.802360000001</v>
      </c>
      <c r="F34" s="922">
        <f t="shared" si="2"/>
        <v>73063.173999999999</v>
      </c>
      <c r="G34" s="1239">
        <f t="shared" si="2"/>
        <v>103070.39999999999</v>
      </c>
      <c r="H34" s="25"/>
      <c r="I34" s="24"/>
      <c r="J34" s="24"/>
      <c r="K34" s="24"/>
    </row>
    <row r="35" spans="1:12" s="6" customFormat="1" ht="24" thickBot="1" x14ac:dyDescent="0.4">
      <c r="A35" s="1727">
        <v>28</v>
      </c>
      <c r="B35" s="1728" t="s">
        <v>121</v>
      </c>
      <c r="C35" s="923" t="s">
        <v>116</v>
      </c>
      <c r="D35" s="798">
        <f>7500*1.004</f>
        <v>7530</v>
      </c>
      <c r="E35" s="922">
        <f>(12100+323)*1.024</f>
        <v>12721.152</v>
      </c>
      <c r="F35" s="922">
        <v>1700</v>
      </c>
      <c r="G35" s="1239">
        <f>(1360+289)*1.024+1000</f>
        <v>2688.576</v>
      </c>
      <c r="H35" s="25"/>
      <c r="I35" s="24"/>
      <c r="J35" s="24"/>
      <c r="K35" s="24"/>
    </row>
    <row r="36" spans="1:12" s="6" customFormat="1" ht="24" customHeight="1" x14ac:dyDescent="0.35">
      <c r="A36" s="1713">
        <v>29</v>
      </c>
      <c r="B36" s="1714"/>
      <c r="C36" s="924" t="s">
        <v>117</v>
      </c>
      <c r="D36" s="912">
        <f>75101+5010*0.2126</f>
        <v>76166.126000000004</v>
      </c>
      <c r="E36" s="1314">
        <v>75101</v>
      </c>
      <c r="F36" s="1314"/>
      <c r="G36" s="1241"/>
      <c r="H36" s="25"/>
      <c r="I36" s="24"/>
      <c r="J36" s="24"/>
      <c r="K36" s="24"/>
    </row>
    <row r="37" spans="1:12" ht="24" customHeight="1" x14ac:dyDescent="0.35">
      <c r="A37" s="1719">
        <v>30</v>
      </c>
      <c r="B37" s="1720"/>
      <c r="C37" s="307" t="s">
        <v>108</v>
      </c>
      <c r="D37" s="912">
        <v>6868</v>
      </c>
      <c r="E37" s="1314">
        <v>8707</v>
      </c>
      <c r="F37" s="1314"/>
      <c r="G37" s="1241"/>
      <c r="H37" s="98" t="e">
        <f>D37-#REF!+D38-#REF!</f>
        <v>#REF!</v>
      </c>
      <c r="I37" s="6"/>
      <c r="J37" s="6"/>
      <c r="K37" s="6"/>
    </row>
    <row r="38" spans="1:12" s="6" customFormat="1" ht="22.5" customHeight="1" thickBot="1" x14ac:dyDescent="0.4">
      <c r="A38" s="1719">
        <v>31</v>
      </c>
      <c r="B38" s="1720"/>
      <c r="C38" s="867" t="s">
        <v>118</v>
      </c>
      <c r="D38" s="912">
        <v>22</v>
      </c>
      <c r="E38" s="1314">
        <v>0</v>
      </c>
      <c r="F38" s="1314"/>
      <c r="G38" s="1241"/>
      <c r="H38" s="98"/>
      <c r="J38" s="796">
        <v>0.5</v>
      </c>
      <c r="K38" s="796">
        <v>1</v>
      </c>
    </row>
    <row r="39" spans="1:12" s="6" customFormat="1" ht="23.25" customHeight="1" thickBot="1" x14ac:dyDescent="0.4">
      <c r="A39" s="1722">
        <v>32</v>
      </c>
      <c r="B39" s="1725"/>
      <c r="C39" s="925" t="s">
        <v>885</v>
      </c>
      <c r="D39" s="921">
        <v>0</v>
      </c>
      <c r="E39" s="1314">
        <v>1107</v>
      </c>
      <c r="F39" s="1652"/>
      <c r="G39" s="1653"/>
      <c r="H39" s="1887" t="s">
        <v>877</v>
      </c>
      <c r="I39" s="1888"/>
      <c r="J39" s="795"/>
      <c r="K39" s="795">
        <v>105800</v>
      </c>
    </row>
    <row r="40" spans="1:12" s="6" customFormat="1" ht="24" thickBot="1" x14ac:dyDescent="0.4">
      <c r="A40" s="1727">
        <v>33</v>
      </c>
      <c r="B40" s="1728" t="s">
        <v>402</v>
      </c>
      <c r="C40" s="334" t="s">
        <v>401</v>
      </c>
      <c r="D40" s="798">
        <f>SUM(D36:D39)</f>
        <v>83056.126000000004</v>
      </c>
      <c r="E40" s="798">
        <f>SUM(E36:E39)</f>
        <v>84915</v>
      </c>
      <c r="F40" s="798">
        <f>SUM(F36:F38)</f>
        <v>0</v>
      </c>
      <c r="G40" s="1240">
        <f>SUM(G36:G39)</f>
        <v>0</v>
      </c>
      <c r="H40" s="1887" t="s">
        <v>102</v>
      </c>
      <c r="I40" s="1888"/>
      <c r="J40" s="795"/>
      <c r="K40" s="795">
        <v>3388000</v>
      </c>
    </row>
    <row r="41" spans="1:12" s="24" customFormat="1" ht="24" thickBot="1" x14ac:dyDescent="0.4">
      <c r="A41" s="1731">
        <v>34</v>
      </c>
      <c r="B41" s="1732"/>
      <c r="C41" s="926" t="s">
        <v>154</v>
      </c>
      <c r="D41" s="912"/>
      <c r="E41" s="1314"/>
      <c r="F41" s="1314">
        <v>11968</v>
      </c>
      <c r="G41" s="1241">
        <f>(K40+K41)/1000+3284</f>
        <v>9721.2000000000007</v>
      </c>
      <c r="H41" s="1887" t="s">
        <v>878</v>
      </c>
      <c r="I41" s="1888"/>
      <c r="J41" s="795"/>
      <c r="K41" s="795">
        <v>3049200</v>
      </c>
    </row>
    <row r="42" spans="1:12" s="24" customFormat="1" ht="24" thickBot="1" x14ac:dyDescent="0.4">
      <c r="A42" s="1733">
        <v>35</v>
      </c>
      <c r="B42" s="1734"/>
      <c r="C42" s="307" t="s">
        <v>155</v>
      </c>
      <c r="D42" s="912"/>
      <c r="E42" s="1314"/>
      <c r="F42" s="1314">
        <v>27108</v>
      </c>
      <c r="G42" s="1241">
        <f>(J42+J43+K42+K43)/1000+1881</f>
        <v>13347.394</v>
      </c>
      <c r="H42" s="1887" t="s">
        <v>995</v>
      </c>
      <c r="I42" s="1888"/>
      <c r="J42" s="795">
        <v>0</v>
      </c>
      <c r="K42" s="795">
        <v>134034</v>
      </c>
      <c r="L42" s="25">
        <f>SUM(J42:K42)</f>
        <v>134034</v>
      </c>
    </row>
    <row r="43" spans="1:12" ht="24" thickBot="1" x14ac:dyDescent="0.4">
      <c r="A43" s="1735">
        <v>36</v>
      </c>
      <c r="B43" s="1736"/>
      <c r="C43" s="307" t="s">
        <v>70</v>
      </c>
      <c r="D43" s="912"/>
      <c r="E43" s="1314"/>
      <c r="F43" s="1314">
        <v>249</v>
      </c>
      <c r="G43" s="1241">
        <f>K39/1000+136</f>
        <v>241.8</v>
      </c>
      <c r="H43" s="1887" t="s">
        <v>876</v>
      </c>
      <c r="I43" s="1888"/>
      <c r="J43" s="795">
        <v>2390200</v>
      </c>
      <c r="K43" s="795">
        <v>8942160</v>
      </c>
      <c r="L43" s="25">
        <f>SUM(J43:K43)</f>
        <v>11332360</v>
      </c>
    </row>
    <row r="44" spans="1:12" s="6" customFormat="1" ht="24" thickBot="1" x14ac:dyDescent="0.4">
      <c r="A44" s="1727">
        <v>37</v>
      </c>
      <c r="B44" s="1728" t="s">
        <v>404</v>
      </c>
      <c r="C44" s="334" t="s">
        <v>403</v>
      </c>
      <c r="D44" s="798">
        <f>SUM(D41:D43)</f>
        <v>0</v>
      </c>
      <c r="E44" s="922">
        <f>SUM(E41:E43)</f>
        <v>0</v>
      </c>
      <c r="F44" s="922">
        <f>SUM(F41:F43)</f>
        <v>39325</v>
      </c>
      <c r="G44" s="1239">
        <f>SUM(G41:G43)</f>
        <v>23310.394</v>
      </c>
      <c r="H44" s="24"/>
      <c r="I44" s="24"/>
      <c r="J44" s="24"/>
      <c r="K44" s="24"/>
    </row>
    <row r="45" spans="1:12" s="6" customFormat="1" ht="38.25" thickBot="1" x14ac:dyDescent="0.4">
      <c r="A45" s="1727">
        <v>38</v>
      </c>
      <c r="B45" s="1728" t="s">
        <v>73</v>
      </c>
      <c r="C45" s="923" t="s">
        <v>72</v>
      </c>
      <c r="D45" s="912">
        <v>0</v>
      </c>
      <c r="E45" s="1314">
        <f>D45</f>
        <v>0</v>
      </c>
      <c r="F45" s="1314"/>
      <c r="G45" s="1241">
        <f t="shared" ref="G45" si="3">F45</f>
        <v>0</v>
      </c>
      <c r="H45" s="24"/>
      <c r="I45" s="24"/>
      <c r="J45" s="24"/>
      <c r="K45" s="24"/>
    </row>
    <row r="46" spans="1:12" s="24" customFormat="1" ht="24" thickBot="1" x14ac:dyDescent="0.4">
      <c r="A46" s="1737">
        <v>39</v>
      </c>
      <c r="B46" s="1738" t="s">
        <v>406</v>
      </c>
      <c r="C46" s="923" t="s">
        <v>86</v>
      </c>
      <c r="D46" s="927">
        <v>0</v>
      </c>
      <c r="E46" s="1654"/>
      <c r="F46" s="1654"/>
      <c r="G46" s="1242"/>
      <c r="H46" s="5"/>
      <c r="I46" s="5"/>
      <c r="J46" s="5"/>
      <c r="K46" s="5"/>
    </row>
    <row r="47" spans="1:12" s="24" customFormat="1" ht="23.25" x14ac:dyDescent="0.35">
      <c r="A47" s="1713">
        <v>40</v>
      </c>
      <c r="B47" s="1714"/>
      <c r="C47" s="307" t="s">
        <v>119</v>
      </c>
      <c r="D47" s="912">
        <v>2000</v>
      </c>
      <c r="E47" s="1314">
        <v>1500</v>
      </c>
      <c r="F47" s="1314">
        <v>0</v>
      </c>
      <c r="G47" s="1241"/>
      <c r="H47" s="6"/>
      <c r="I47" s="6"/>
      <c r="J47" s="6"/>
      <c r="K47" s="6"/>
    </row>
    <row r="48" spans="1:12" ht="24" thickBot="1" x14ac:dyDescent="0.4">
      <c r="A48" s="1726">
        <v>41</v>
      </c>
      <c r="B48" s="1721"/>
      <c r="C48" s="307" t="s">
        <v>120</v>
      </c>
      <c r="D48" s="912">
        <v>1500</v>
      </c>
      <c r="E48" s="1314">
        <v>40</v>
      </c>
      <c r="F48" s="1314">
        <v>0</v>
      </c>
      <c r="G48" s="1241"/>
      <c r="H48" s="6"/>
      <c r="I48" s="6"/>
      <c r="J48" s="6"/>
      <c r="K48" s="6"/>
    </row>
    <row r="49" spans="1:11" ht="24" thickBot="1" x14ac:dyDescent="0.4">
      <c r="A49" s="1727">
        <v>42</v>
      </c>
      <c r="B49" s="1728" t="s">
        <v>408</v>
      </c>
      <c r="C49" s="923" t="s">
        <v>407</v>
      </c>
      <c r="D49" s="798">
        <f t="shared" ref="D49:F49" si="4">SUM(D47:D48)</f>
        <v>3500</v>
      </c>
      <c r="E49" s="922">
        <f t="shared" si="4"/>
        <v>1540</v>
      </c>
      <c r="F49" s="922">
        <f t="shared" si="4"/>
        <v>0</v>
      </c>
      <c r="G49" s="1239">
        <f t="shared" ref="G49" si="5">SUM(G47:G48)</f>
        <v>0</v>
      </c>
      <c r="H49" s="24"/>
      <c r="I49" s="24"/>
      <c r="J49" s="24"/>
      <c r="K49" s="24"/>
    </row>
    <row r="50" spans="1:11" ht="24" thickBot="1" x14ac:dyDescent="0.4">
      <c r="A50" s="1727">
        <v>43</v>
      </c>
      <c r="B50" s="1728" t="s">
        <v>71</v>
      </c>
      <c r="C50" s="923" t="s">
        <v>1</v>
      </c>
      <c r="D50" s="912"/>
      <c r="E50" s="912"/>
      <c r="F50" s="912"/>
      <c r="G50" s="1241">
        <f>455</f>
        <v>455</v>
      </c>
      <c r="H50" s="24"/>
      <c r="I50" s="24"/>
      <c r="J50" s="24"/>
      <c r="K50" s="24"/>
    </row>
    <row r="51" spans="1:11" ht="23.25" thickBot="1" x14ac:dyDescent="0.35">
      <c r="A51" s="1723">
        <v>44</v>
      </c>
      <c r="B51" s="1724" t="s">
        <v>410</v>
      </c>
      <c r="C51" s="919" t="s">
        <v>1</v>
      </c>
      <c r="D51" s="920">
        <f>D24+D34+D35+D40+D44+D49+D46+D50+D45</f>
        <v>146979.88036000001</v>
      </c>
      <c r="E51" s="920">
        <f>E24+E34+E35+E40+E44+E49+E46+E50+E45</f>
        <v>152397.95436</v>
      </c>
      <c r="F51" s="920">
        <f>F24+F34+F35+F40+F44+F49+F46</f>
        <v>117658.174</v>
      </c>
      <c r="G51" s="1238">
        <f>G24+G34+G35+G40+G44+G49+G46+G50+G45</f>
        <v>133348.37</v>
      </c>
    </row>
  </sheetData>
  <mergeCells count="8">
    <mergeCell ref="H43:I43"/>
    <mergeCell ref="H39:I39"/>
    <mergeCell ref="H40:I40"/>
    <mergeCell ref="A1:G1"/>
    <mergeCell ref="B2:F2"/>
    <mergeCell ref="A3:G3"/>
    <mergeCell ref="H41:I41"/>
    <mergeCell ref="H42:I42"/>
  </mergeCells>
  <phoneticPr fontId="57" type="noConversion"/>
  <pageMargins left="0.25" right="0.25" top="0.75" bottom="0.75" header="0.3" footer="0.3"/>
  <pageSetup paperSize="9" scale="5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FF0000"/>
    <pageSetUpPr fitToPage="1"/>
  </sheetPr>
  <dimension ref="A1:U181"/>
  <sheetViews>
    <sheetView view="pageBreakPreview" zoomScale="75" zoomScaleSheetLayoutView="75" workbookViewId="0">
      <selection sqref="A1:D1"/>
    </sheetView>
  </sheetViews>
  <sheetFormatPr defaultRowHeight="15.75" x14ac:dyDescent="0.25"/>
  <cols>
    <col min="1" max="1" width="10.140625" style="44" customWidth="1"/>
    <col min="2" max="2" width="83.85546875" style="33" customWidth="1"/>
    <col min="3" max="4" width="27.42578125" style="33" customWidth="1"/>
    <col min="5" max="16384" width="9.140625" style="33"/>
  </cols>
  <sheetData>
    <row r="1" spans="1:21" ht="21" x14ac:dyDescent="0.35">
      <c r="A1" s="1824" t="str">
        <f>Tartalomjegyzék_2018!A1</f>
        <v>Pilisvörösvár Város Önkormányzata Képviselő-testületének 2/2018. (II. 9.) önkormányzati rendelete</v>
      </c>
      <c r="B1" s="1824"/>
      <c r="C1" s="1826"/>
      <c r="D1" s="1827"/>
    </row>
    <row r="2" spans="1:21" ht="21" customHeight="1" x14ac:dyDescent="0.35">
      <c r="A2" s="1824" t="str">
        <f>'13. Költségvetési támogatások'!A2:F2</f>
        <v>az Önkormányzat  2018. évi költségvetéséről</v>
      </c>
      <c r="B2" s="1824"/>
      <c r="C2" s="1826"/>
      <c r="D2" s="1827"/>
    </row>
    <row r="3" spans="1:21" ht="20.25" x14ac:dyDescent="0.3">
      <c r="A3" s="993"/>
      <c r="B3" s="994"/>
      <c r="C3" s="995"/>
      <c r="D3" s="995"/>
    </row>
    <row r="4" spans="1:21" ht="21" customHeight="1" x14ac:dyDescent="0.35">
      <c r="A4" s="1824" t="str">
        <f>Tartalomjegyzék_2018!B23</f>
        <v>Pilisvörösvár Város Önkormányzata átvett pénzeszközei</v>
      </c>
      <c r="B4" s="1824"/>
      <c r="C4" s="1826"/>
      <c r="D4" s="1827"/>
    </row>
    <row r="5" spans="1:21" ht="20.25" x14ac:dyDescent="0.3">
      <c r="A5" s="401"/>
      <c r="B5" s="401"/>
      <c r="D5" s="990" t="s">
        <v>869</v>
      </c>
    </row>
    <row r="6" spans="1:21" s="39" customFormat="1" ht="20.25" x14ac:dyDescent="0.3">
      <c r="A6" s="402"/>
      <c r="B6" s="401"/>
      <c r="D6" s="1036"/>
    </row>
    <row r="7" spans="1:21" ht="20.25" x14ac:dyDescent="0.3">
      <c r="A7" s="405"/>
      <c r="B7" s="406"/>
      <c r="D7" s="992" t="s">
        <v>364</v>
      </c>
      <c r="E7" s="30"/>
      <c r="F7" s="30"/>
      <c r="G7" s="31"/>
      <c r="H7" s="31"/>
      <c r="I7" s="31"/>
      <c r="J7" s="31"/>
      <c r="K7" s="31"/>
      <c r="L7" s="31"/>
      <c r="M7" s="31"/>
      <c r="N7" s="32"/>
      <c r="O7" s="32"/>
      <c r="P7" s="32"/>
      <c r="Q7" s="32"/>
      <c r="R7" s="32"/>
      <c r="S7" s="32"/>
      <c r="T7" s="32"/>
      <c r="U7" s="32"/>
    </row>
    <row r="8" spans="1:21" ht="56.25" x14ac:dyDescent="0.25">
      <c r="A8" s="389" t="s">
        <v>40</v>
      </c>
      <c r="B8" s="403" t="s">
        <v>365</v>
      </c>
      <c r="C8" s="404" t="str">
        <f>'15. Működési bev. (B3,B4)'!D7</f>
        <v>Önkormányzat 2017. évi eredeti előirányzat</v>
      </c>
      <c r="D8" s="404" t="str">
        <f>'15. Működési bev. (B3,B4)'!E7</f>
        <v>Önkormányzat 2018. évi eredeti előirányzat</v>
      </c>
      <c r="E8" s="30"/>
      <c r="F8" s="30"/>
      <c r="G8" s="31"/>
      <c r="H8" s="31"/>
      <c r="I8" s="31"/>
      <c r="J8" s="31"/>
      <c r="K8" s="31"/>
      <c r="L8" s="31"/>
      <c r="M8" s="31"/>
      <c r="N8" s="32"/>
      <c r="O8" s="32"/>
      <c r="P8" s="32"/>
      <c r="Q8" s="32"/>
      <c r="R8" s="32"/>
      <c r="S8" s="32"/>
      <c r="T8" s="32"/>
      <c r="U8" s="32"/>
    </row>
    <row r="9" spans="1:21" ht="43.5" customHeight="1" x14ac:dyDescent="0.25">
      <c r="A9" s="390">
        <v>1</v>
      </c>
      <c r="B9" s="336" t="s">
        <v>668</v>
      </c>
      <c r="C9" s="648">
        <v>0</v>
      </c>
      <c r="D9" s="648">
        <v>0</v>
      </c>
      <c r="E9" s="30"/>
      <c r="F9" s="30"/>
      <c r="G9" s="31"/>
      <c r="H9" s="31"/>
      <c r="I9" s="31"/>
      <c r="J9" s="31"/>
      <c r="K9" s="31"/>
      <c r="L9" s="31"/>
      <c r="M9" s="31"/>
      <c r="N9" s="32"/>
      <c r="O9" s="32"/>
      <c r="P9" s="32"/>
      <c r="Q9" s="32"/>
      <c r="R9" s="32"/>
      <c r="S9" s="32"/>
      <c r="T9" s="32"/>
      <c r="U9" s="32"/>
    </row>
    <row r="10" spans="1:21" ht="43.5" customHeight="1" x14ac:dyDescent="0.25">
      <c r="A10" s="390">
        <v>2</v>
      </c>
      <c r="B10" s="336" t="s">
        <v>42</v>
      </c>
      <c r="C10" s="648">
        <v>0</v>
      </c>
      <c r="D10" s="648">
        <v>0</v>
      </c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</row>
    <row r="11" spans="1:21" ht="43.5" customHeight="1" x14ac:dyDescent="0.25">
      <c r="A11" s="390">
        <v>3</v>
      </c>
      <c r="B11" s="336" t="s">
        <v>43</v>
      </c>
      <c r="C11" s="648">
        <v>0</v>
      </c>
      <c r="D11" s="648">
        <v>0</v>
      </c>
      <c r="E11" s="34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43.5" customHeight="1" x14ac:dyDescent="0.25">
      <c r="A12" s="390">
        <v>4</v>
      </c>
      <c r="B12" s="336" t="s">
        <v>44</v>
      </c>
      <c r="C12" s="648">
        <v>0</v>
      </c>
      <c r="D12" s="648">
        <v>0</v>
      </c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</row>
    <row r="13" spans="1:21" ht="43.5" customHeight="1" x14ac:dyDescent="0.25">
      <c r="A13" s="390">
        <v>5</v>
      </c>
      <c r="B13" s="336" t="s">
        <v>45</v>
      </c>
      <c r="C13" s="648">
        <v>0</v>
      </c>
      <c r="D13" s="648">
        <v>0</v>
      </c>
      <c r="E13" s="30"/>
      <c r="F13" s="30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2"/>
      <c r="R13" s="32"/>
      <c r="S13" s="32"/>
      <c r="T13" s="32"/>
      <c r="U13" s="32"/>
    </row>
    <row r="14" spans="1:21" ht="43.5" customHeight="1" x14ac:dyDescent="0.25">
      <c r="A14" s="390">
        <v>6</v>
      </c>
      <c r="B14" s="336" t="s">
        <v>46</v>
      </c>
      <c r="C14" s="648">
        <v>0</v>
      </c>
      <c r="D14" s="648">
        <v>0</v>
      </c>
      <c r="E14" s="30"/>
      <c r="F14" s="30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  <c r="S14" s="32"/>
      <c r="T14" s="32"/>
      <c r="U14" s="32"/>
    </row>
    <row r="15" spans="1:21" ht="43.5" customHeight="1" x14ac:dyDescent="0.25">
      <c r="A15" s="390">
        <v>7</v>
      </c>
      <c r="B15" s="336" t="s">
        <v>47</v>
      </c>
      <c r="C15" s="648">
        <v>0</v>
      </c>
      <c r="D15" s="648">
        <v>0</v>
      </c>
      <c r="E15" s="30"/>
      <c r="F15" s="30"/>
      <c r="G15" s="31"/>
      <c r="H15" s="31"/>
      <c r="I15" s="31"/>
      <c r="J15" s="31"/>
      <c r="K15" s="31"/>
      <c r="L15" s="31"/>
      <c r="M15" s="31"/>
      <c r="N15" s="32"/>
      <c r="O15" s="32"/>
      <c r="P15" s="32"/>
      <c r="Q15" s="32"/>
      <c r="R15" s="32"/>
      <c r="S15" s="32"/>
      <c r="T15" s="32"/>
      <c r="U15" s="32"/>
    </row>
    <row r="16" spans="1:21" ht="43.5" customHeight="1" x14ac:dyDescent="0.25">
      <c r="A16" s="390">
        <v>8</v>
      </c>
      <c r="B16" s="336" t="s">
        <v>48</v>
      </c>
      <c r="C16" s="648">
        <v>0</v>
      </c>
      <c r="D16" s="648">
        <v>0</v>
      </c>
      <c r="E16" s="30"/>
      <c r="F16" s="30"/>
      <c r="G16" s="31"/>
      <c r="H16" s="31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2"/>
      <c r="T16" s="32"/>
      <c r="U16" s="32"/>
    </row>
    <row r="17" spans="1:21" s="39" customFormat="1" ht="43.5" customHeight="1" x14ac:dyDescent="0.25">
      <c r="A17" s="390">
        <v>9</v>
      </c>
      <c r="B17" s="336" t="s">
        <v>49</v>
      </c>
      <c r="C17" s="648">
        <v>0</v>
      </c>
      <c r="D17" s="648">
        <v>0</v>
      </c>
      <c r="E17" s="36"/>
      <c r="F17" s="36"/>
      <c r="G17" s="37"/>
      <c r="H17" s="37"/>
      <c r="I17" s="37"/>
      <c r="J17" s="37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ht="37.5" x14ac:dyDescent="0.25">
      <c r="A18" s="390">
        <v>10</v>
      </c>
      <c r="B18" s="336" t="s">
        <v>50</v>
      </c>
      <c r="C18" s="648">
        <v>0</v>
      </c>
      <c r="D18" s="648">
        <v>0</v>
      </c>
    </row>
    <row r="19" spans="1:21" ht="24.75" customHeight="1" x14ac:dyDescent="0.25">
      <c r="A19" s="391">
        <v>11</v>
      </c>
      <c r="B19" s="392" t="s">
        <v>76</v>
      </c>
      <c r="C19" s="649">
        <f>SUM(C9:C18)</f>
        <v>0</v>
      </c>
      <c r="D19" s="649">
        <f>SUM(D9:D18)</f>
        <v>0</v>
      </c>
    </row>
    <row r="20" spans="1:21" s="39" customFormat="1" ht="16.5" x14ac:dyDescent="0.25">
      <c r="A20" s="166"/>
      <c r="B20" s="167"/>
      <c r="C20" s="33"/>
      <c r="D20" s="33"/>
    </row>
    <row r="21" spans="1:21" ht="16.5" x14ac:dyDescent="0.25">
      <c r="A21" s="166"/>
      <c r="B21" s="167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56.25" x14ac:dyDescent="0.25">
      <c r="A22" s="389" t="s">
        <v>40</v>
      </c>
      <c r="B22" s="403" t="str">
        <f>B8</f>
        <v>Megnevezés</v>
      </c>
      <c r="C22" s="404" t="str">
        <f>C8</f>
        <v>Önkormányzat 2017. évi eredeti előirányzat</v>
      </c>
      <c r="D22" s="404" t="str">
        <f>D8</f>
        <v>Önkormányzat 2018. évi eredeti előirányzat</v>
      </c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39" customHeight="1" x14ac:dyDescent="0.25">
      <c r="A23" s="390">
        <v>1</v>
      </c>
      <c r="B23" s="336" t="s">
        <v>51</v>
      </c>
      <c r="C23" s="650">
        <v>0</v>
      </c>
      <c r="D23" s="650">
        <v>0</v>
      </c>
      <c r="E23" s="34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39" customHeight="1" x14ac:dyDescent="0.25">
      <c r="A24" s="390">
        <v>2</v>
      </c>
      <c r="B24" s="336" t="s">
        <v>52</v>
      </c>
      <c r="C24" s="650">
        <v>0</v>
      </c>
      <c r="D24" s="650">
        <v>0</v>
      </c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ht="39" customHeight="1" x14ac:dyDescent="0.25">
      <c r="A25" s="390">
        <v>3</v>
      </c>
      <c r="B25" s="336" t="s">
        <v>673</v>
      </c>
      <c r="C25" s="650">
        <v>660</v>
      </c>
      <c r="D25" s="650">
        <v>538</v>
      </c>
      <c r="E25" s="34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39" customHeight="1" x14ac:dyDescent="0.25">
      <c r="A26" s="390">
        <v>4</v>
      </c>
      <c r="B26" s="336" t="s">
        <v>53</v>
      </c>
      <c r="C26" s="650">
        <v>0</v>
      </c>
      <c r="D26" s="650">
        <v>0</v>
      </c>
      <c r="E26" s="34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</row>
    <row r="27" spans="1:21" ht="39" customHeight="1" x14ac:dyDescent="0.25">
      <c r="A27" s="390">
        <v>5</v>
      </c>
      <c r="B27" s="336" t="s">
        <v>54</v>
      </c>
      <c r="C27" s="650">
        <v>0</v>
      </c>
      <c r="D27" s="650">
        <v>0</v>
      </c>
      <c r="E27" s="34"/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</row>
    <row r="28" spans="1:21" ht="39" customHeight="1" x14ac:dyDescent="0.25">
      <c r="A28" s="390">
        <v>6</v>
      </c>
      <c r="B28" s="336" t="s">
        <v>674</v>
      </c>
      <c r="C28" s="650">
        <v>2066</v>
      </c>
      <c r="D28" s="650">
        <v>0</v>
      </c>
      <c r="E28" s="36"/>
      <c r="F28" s="36"/>
      <c r="G28" s="37"/>
      <c r="H28" s="37"/>
      <c r="I28" s="37"/>
      <c r="J28" s="37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39" customHeight="1" x14ac:dyDescent="0.25">
      <c r="A29" s="390">
        <v>7</v>
      </c>
      <c r="B29" s="336" t="s">
        <v>55</v>
      </c>
      <c r="C29" s="650">
        <v>0</v>
      </c>
      <c r="D29" s="650">
        <v>0</v>
      </c>
    </row>
    <row r="30" spans="1:21" ht="39" customHeight="1" x14ac:dyDescent="0.25">
      <c r="A30" s="390">
        <v>8</v>
      </c>
      <c r="B30" s="336" t="s">
        <v>56</v>
      </c>
      <c r="C30" s="650">
        <v>0</v>
      </c>
      <c r="D30" s="650">
        <v>0</v>
      </c>
    </row>
    <row r="31" spans="1:21" s="39" customFormat="1" ht="39" customHeight="1" x14ac:dyDescent="0.25">
      <c r="A31" s="390">
        <v>9</v>
      </c>
      <c r="B31" s="336" t="s">
        <v>57</v>
      </c>
      <c r="C31" s="650">
        <v>0</v>
      </c>
      <c r="D31" s="650">
        <v>0</v>
      </c>
    </row>
    <row r="32" spans="1:21" ht="37.5" x14ac:dyDescent="0.25">
      <c r="A32" s="390">
        <v>10</v>
      </c>
      <c r="B32" s="336" t="s">
        <v>58</v>
      </c>
      <c r="C32" s="650">
        <v>0</v>
      </c>
      <c r="D32" s="650">
        <v>0</v>
      </c>
    </row>
    <row r="33" spans="1:4" ht="22.5" x14ac:dyDescent="0.25">
      <c r="A33" s="391">
        <v>11</v>
      </c>
      <c r="B33" s="392" t="s">
        <v>77</v>
      </c>
      <c r="C33" s="651">
        <f>SUM(C23:C32)</f>
        <v>2726</v>
      </c>
      <c r="D33" s="651">
        <f>SUM(D23:D32)</f>
        <v>538</v>
      </c>
    </row>
    <row r="34" spans="1:4" x14ac:dyDescent="0.25">
      <c r="A34" s="42"/>
      <c r="B34" s="40"/>
    </row>
    <row r="35" spans="1:4" x14ac:dyDescent="0.25">
      <c r="A35" s="42"/>
      <c r="B35" s="40"/>
    </row>
    <row r="36" spans="1:4" x14ac:dyDescent="0.25">
      <c r="A36" s="42"/>
      <c r="B36" s="43"/>
    </row>
    <row r="37" spans="1:4" x14ac:dyDescent="0.25">
      <c r="A37" s="42"/>
      <c r="B37" s="40"/>
    </row>
    <row r="38" spans="1:4" x14ac:dyDescent="0.25">
      <c r="A38" s="42"/>
      <c r="B38" s="40"/>
    </row>
    <row r="39" spans="1:4" x14ac:dyDescent="0.25">
      <c r="A39" s="42"/>
      <c r="B39" s="40"/>
    </row>
    <row r="40" spans="1:4" x14ac:dyDescent="0.25">
      <c r="A40" s="42"/>
      <c r="B40" s="40"/>
    </row>
    <row r="41" spans="1:4" x14ac:dyDescent="0.25">
      <c r="A41" s="42"/>
      <c r="B41" s="40"/>
    </row>
    <row r="42" spans="1:4" x14ac:dyDescent="0.25">
      <c r="A42" s="42"/>
      <c r="B42" s="40"/>
    </row>
    <row r="43" spans="1:4" x14ac:dyDescent="0.25">
      <c r="A43" s="42"/>
      <c r="B43" s="40"/>
    </row>
    <row r="44" spans="1:4" x14ac:dyDescent="0.25">
      <c r="A44" s="42"/>
      <c r="B44" s="40"/>
    </row>
    <row r="45" spans="1:4" x14ac:dyDescent="0.25">
      <c r="A45" s="42"/>
      <c r="B45" s="40"/>
    </row>
    <row r="46" spans="1:4" x14ac:dyDescent="0.25">
      <c r="A46" s="42"/>
      <c r="B46" s="40"/>
    </row>
    <row r="47" spans="1:4" x14ac:dyDescent="0.25">
      <c r="A47" s="42"/>
      <c r="B47" s="40"/>
    </row>
    <row r="48" spans="1:4" x14ac:dyDescent="0.25">
      <c r="A48" s="42"/>
      <c r="B48" s="40"/>
    </row>
    <row r="49" spans="1:2" x14ac:dyDescent="0.25">
      <c r="A49" s="42"/>
      <c r="B49" s="40"/>
    </row>
    <row r="50" spans="1:2" x14ac:dyDescent="0.25">
      <c r="A50" s="42"/>
      <c r="B50" s="40"/>
    </row>
    <row r="51" spans="1:2" x14ac:dyDescent="0.25">
      <c r="A51" s="42"/>
      <c r="B51" s="40"/>
    </row>
    <row r="52" spans="1:2" x14ac:dyDescent="0.25">
      <c r="A52" s="42"/>
      <c r="B52" s="40"/>
    </row>
    <row r="53" spans="1:2" x14ac:dyDescent="0.25">
      <c r="A53" s="42"/>
      <c r="B53" s="40"/>
    </row>
    <row r="54" spans="1:2" x14ac:dyDescent="0.25">
      <c r="A54" s="42"/>
      <c r="B54" s="40"/>
    </row>
    <row r="55" spans="1:2" x14ac:dyDescent="0.25">
      <c r="A55" s="42"/>
      <c r="B55" s="41"/>
    </row>
    <row r="56" spans="1:2" x14ac:dyDescent="0.25">
      <c r="A56" s="42"/>
      <c r="B56" s="41"/>
    </row>
    <row r="57" spans="1:2" x14ac:dyDescent="0.25">
      <c r="A57" s="42"/>
      <c r="B57" s="41"/>
    </row>
    <row r="58" spans="1:2" x14ac:dyDescent="0.25">
      <c r="A58" s="42"/>
      <c r="B58" s="41"/>
    </row>
    <row r="59" spans="1:2" x14ac:dyDescent="0.25">
      <c r="A59" s="42"/>
      <c r="B59" s="41"/>
    </row>
    <row r="60" spans="1:2" x14ac:dyDescent="0.25">
      <c r="A60" s="42"/>
      <c r="B60" s="41"/>
    </row>
    <row r="61" spans="1:2" x14ac:dyDescent="0.25">
      <c r="A61" s="42"/>
      <c r="B61" s="41"/>
    </row>
    <row r="64" spans="1:2" x14ac:dyDescent="0.25">
      <c r="A64" s="42"/>
      <c r="B64" s="41"/>
    </row>
    <row r="65" spans="1:2" x14ac:dyDescent="0.25">
      <c r="A65" s="42"/>
      <c r="B65" s="41"/>
    </row>
    <row r="66" spans="1:2" x14ac:dyDescent="0.25">
      <c r="A66" s="42"/>
      <c r="B66" s="41"/>
    </row>
    <row r="67" spans="1:2" x14ac:dyDescent="0.25">
      <c r="A67" s="42"/>
      <c r="B67" s="41"/>
    </row>
    <row r="68" spans="1:2" x14ac:dyDescent="0.25">
      <c r="A68" s="42"/>
      <c r="B68" s="41"/>
    </row>
    <row r="69" spans="1:2" x14ac:dyDescent="0.25">
      <c r="A69" s="42"/>
      <c r="B69" s="41"/>
    </row>
    <row r="70" spans="1:2" x14ac:dyDescent="0.25">
      <c r="A70" s="42"/>
      <c r="B70" s="41"/>
    </row>
    <row r="71" spans="1:2" x14ac:dyDescent="0.25">
      <c r="A71" s="42"/>
      <c r="B71" s="41"/>
    </row>
    <row r="72" spans="1:2" x14ac:dyDescent="0.25">
      <c r="A72" s="42"/>
      <c r="B72" s="41"/>
    </row>
    <row r="73" spans="1:2" x14ac:dyDescent="0.25">
      <c r="A73" s="42"/>
      <c r="B73" s="41"/>
    </row>
    <row r="74" spans="1:2" x14ac:dyDescent="0.25">
      <c r="A74" s="42"/>
      <c r="B74" s="41"/>
    </row>
    <row r="75" spans="1:2" x14ac:dyDescent="0.25">
      <c r="A75" s="42"/>
      <c r="B75" s="41"/>
    </row>
    <row r="76" spans="1:2" x14ac:dyDescent="0.25">
      <c r="A76" s="42"/>
      <c r="B76" s="41"/>
    </row>
    <row r="77" spans="1:2" x14ac:dyDescent="0.25">
      <c r="A77" s="42"/>
      <c r="B77" s="41"/>
    </row>
    <row r="78" spans="1:2" x14ac:dyDescent="0.25">
      <c r="A78" s="42"/>
      <c r="B78" s="41"/>
    </row>
    <row r="79" spans="1:2" x14ac:dyDescent="0.25">
      <c r="A79" s="42"/>
      <c r="B79" s="41"/>
    </row>
    <row r="80" spans="1:2" x14ac:dyDescent="0.25">
      <c r="A80" s="42"/>
      <c r="B80" s="41"/>
    </row>
    <row r="81" spans="1:2" x14ac:dyDescent="0.25">
      <c r="A81" s="42"/>
      <c r="B81" s="41"/>
    </row>
    <row r="82" spans="1:2" x14ac:dyDescent="0.25">
      <c r="A82" s="42"/>
      <c r="B82" s="41"/>
    </row>
    <row r="83" spans="1:2" x14ac:dyDescent="0.25">
      <c r="A83" s="42"/>
      <c r="B83" s="41"/>
    </row>
    <row r="84" spans="1:2" x14ac:dyDescent="0.25">
      <c r="A84" s="42"/>
      <c r="B84" s="41"/>
    </row>
    <row r="85" spans="1:2" x14ac:dyDescent="0.25">
      <c r="A85" s="42"/>
      <c r="B85" s="41"/>
    </row>
    <row r="86" spans="1:2" x14ac:dyDescent="0.25">
      <c r="A86" s="42"/>
      <c r="B86" s="41"/>
    </row>
    <row r="87" spans="1:2" x14ac:dyDescent="0.25">
      <c r="A87" s="42"/>
      <c r="B87" s="41"/>
    </row>
    <row r="88" spans="1:2" x14ac:dyDescent="0.25">
      <c r="A88" s="42"/>
      <c r="B88" s="41"/>
    </row>
    <row r="89" spans="1:2" x14ac:dyDescent="0.25">
      <c r="A89" s="42"/>
      <c r="B89" s="41"/>
    </row>
    <row r="90" spans="1:2" x14ac:dyDescent="0.25">
      <c r="A90" s="42"/>
      <c r="B90" s="41"/>
    </row>
    <row r="91" spans="1:2" x14ac:dyDescent="0.25">
      <c r="A91" s="42"/>
      <c r="B91" s="41"/>
    </row>
    <row r="92" spans="1:2" x14ac:dyDescent="0.25">
      <c r="A92" s="42"/>
      <c r="B92" s="41"/>
    </row>
    <row r="93" spans="1:2" x14ac:dyDescent="0.25">
      <c r="A93" s="42"/>
      <c r="B93" s="41"/>
    </row>
    <row r="94" spans="1:2" x14ac:dyDescent="0.25">
      <c r="A94" s="42"/>
      <c r="B94" s="41"/>
    </row>
    <row r="95" spans="1:2" x14ac:dyDescent="0.25">
      <c r="A95" s="42"/>
      <c r="B95" s="41"/>
    </row>
    <row r="96" spans="1:2" x14ac:dyDescent="0.25">
      <c r="A96" s="42"/>
      <c r="B96" s="41"/>
    </row>
    <row r="97" spans="1:2" x14ac:dyDescent="0.25">
      <c r="A97" s="42"/>
      <c r="B97" s="41"/>
    </row>
    <row r="98" spans="1:2" x14ac:dyDescent="0.25">
      <c r="A98" s="42"/>
      <c r="B98" s="41"/>
    </row>
    <row r="99" spans="1:2" x14ac:dyDescent="0.25">
      <c r="A99" s="42"/>
      <c r="B99" s="41"/>
    </row>
    <row r="100" spans="1:2" x14ac:dyDescent="0.25">
      <c r="A100" s="42"/>
      <c r="B100" s="41"/>
    </row>
    <row r="101" spans="1:2" x14ac:dyDescent="0.25">
      <c r="A101" s="42"/>
      <c r="B101" s="41"/>
    </row>
    <row r="102" spans="1:2" x14ac:dyDescent="0.25">
      <c r="A102" s="42"/>
      <c r="B102" s="41"/>
    </row>
    <row r="103" spans="1:2" x14ac:dyDescent="0.25">
      <c r="A103" s="42"/>
      <c r="B103" s="41"/>
    </row>
    <row r="104" spans="1:2" x14ac:dyDescent="0.25">
      <c r="A104" s="42"/>
      <c r="B104" s="41"/>
    </row>
    <row r="105" spans="1:2" x14ac:dyDescent="0.25">
      <c r="A105" s="42"/>
      <c r="B105" s="41"/>
    </row>
    <row r="106" spans="1:2" x14ac:dyDescent="0.25">
      <c r="A106" s="42"/>
      <c r="B106" s="41"/>
    </row>
    <row r="107" spans="1:2" x14ac:dyDescent="0.25">
      <c r="A107" s="42"/>
      <c r="B107" s="41"/>
    </row>
    <row r="108" spans="1:2" x14ac:dyDescent="0.25">
      <c r="A108" s="42"/>
      <c r="B108" s="41"/>
    </row>
    <row r="109" spans="1:2" x14ac:dyDescent="0.25">
      <c r="A109" s="42"/>
      <c r="B109" s="41"/>
    </row>
    <row r="110" spans="1:2" x14ac:dyDescent="0.25">
      <c r="A110" s="42"/>
      <c r="B110" s="41"/>
    </row>
    <row r="111" spans="1:2" x14ac:dyDescent="0.25">
      <c r="A111" s="42"/>
      <c r="B111" s="41"/>
    </row>
    <row r="112" spans="1:2" x14ac:dyDescent="0.25">
      <c r="A112" s="42"/>
      <c r="B112" s="41"/>
    </row>
    <row r="113" spans="1:2" x14ac:dyDescent="0.25">
      <c r="A113" s="42"/>
      <c r="B113" s="41"/>
    </row>
    <row r="114" spans="1:2" x14ac:dyDescent="0.25">
      <c r="A114" s="42"/>
      <c r="B114" s="41"/>
    </row>
    <row r="115" spans="1:2" x14ac:dyDescent="0.25">
      <c r="A115" s="42"/>
      <c r="B115" s="41"/>
    </row>
    <row r="116" spans="1:2" x14ac:dyDescent="0.25">
      <c r="A116" s="42"/>
      <c r="B116" s="41"/>
    </row>
    <row r="117" spans="1:2" x14ac:dyDescent="0.25">
      <c r="A117" s="42"/>
      <c r="B117" s="41"/>
    </row>
    <row r="118" spans="1:2" x14ac:dyDescent="0.25">
      <c r="A118" s="42"/>
      <c r="B118" s="41"/>
    </row>
    <row r="119" spans="1:2" x14ac:dyDescent="0.25">
      <c r="A119" s="42"/>
      <c r="B119" s="41"/>
    </row>
    <row r="120" spans="1:2" x14ac:dyDescent="0.25">
      <c r="A120" s="42"/>
      <c r="B120" s="41"/>
    </row>
    <row r="121" spans="1:2" x14ac:dyDescent="0.25">
      <c r="A121" s="42"/>
      <c r="B121" s="41"/>
    </row>
    <row r="122" spans="1:2" x14ac:dyDescent="0.25">
      <c r="A122" s="42"/>
      <c r="B122" s="41"/>
    </row>
    <row r="123" spans="1:2" x14ac:dyDescent="0.25">
      <c r="A123" s="42"/>
      <c r="B123" s="41"/>
    </row>
    <row r="124" spans="1:2" x14ac:dyDescent="0.25">
      <c r="A124" s="42"/>
      <c r="B124" s="41"/>
    </row>
    <row r="125" spans="1:2" x14ac:dyDescent="0.25">
      <c r="A125" s="42"/>
      <c r="B125" s="41"/>
    </row>
    <row r="126" spans="1:2" x14ac:dyDescent="0.25">
      <c r="A126" s="42"/>
      <c r="B126" s="41"/>
    </row>
    <row r="127" spans="1:2" x14ac:dyDescent="0.25">
      <c r="A127" s="42"/>
      <c r="B127" s="41"/>
    </row>
    <row r="128" spans="1:2" x14ac:dyDescent="0.25">
      <c r="A128" s="42"/>
      <c r="B128" s="41"/>
    </row>
    <row r="129" spans="1:2" x14ac:dyDescent="0.25">
      <c r="A129" s="42"/>
      <c r="B129" s="41"/>
    </row>
    <row r="130" spans="1:2" x14ac:dyDescent="0.25">
      <c r="A130" s="42"/>
      <c r="B130" s="41"/>
    </row>
    <row r="131" spans="1:2" x14ac:dyDescent="0.25">
      <c r="A131" s="42"/>
      <c r="B131" s="41"/>
    </row>
    <row r="132" spans="1:2" x14ac:dyDescent="0.25">
      <c r="A132" s="42"/>
      <c r="B132" s="41"/>
    </row>
    <row r="133" spans="1:2" x14ac:dyDescent="0.25">
      <c r="A133" s="42"/>
      <c r="B133" s="41"/>
    </row>
    <row r="134" spans="1:2" x14ac:dyDescent="0.25">
      <c r="A134" s="42"/>
      <c r="B134" s="41"/>
    </row>
    <row r="135" spans="1:2" x14ac:dyDescent="0.25">
      <c r="A135" s="42"/>
      <c r="B135" s="41"/>
    </row>
    <row r="136" spans="1:2" x14ac:dyDescent="0.25">
      <c r="A136" s="42"/>
      <c r="B136" s="41"/>
    </row>
    <row r="137" spans="1:2" x14ac:dyDescent="0.25">
      <c r="A137" s="42"/>
      <c r="B137" s="41"/>
    </row>
    <row r="138" spans="1:2" x14ac:dyDescent="0.25">
      <c r="A138" s="42"/>
      <c r="B138" s="41"/>
    </row>
    <row r="139" spans="1:2" x14ac:dyDescent="0.25">
      <c r="A139" s="42"/>
      <c r="B139" s="41"/>
    </row>
    <row r="140" spans="1:2" x14ac:dyDescent="0.25">
      <c r="A140" s="42"/>
      <c r="B140" s="41"/>
    </row>
    <row r="141" spans="1:2" x14ac:dyDescent="0.25">
      <c r="A141" s="42"/>
      <c r="B141" s="41"/>
    </row>
    <row r="142" spans="1:2" x14ac:dyDescent="0.25">
      <c r="A142" s="42"/>
      <c r="B142" s="41"/>
    </row>
    <row r="143" spans="1:2" x14ac:dyDescent="0.25">
      <c r="A143" s="42"/>
      <c r="B143" s="41"/>
    </row>
    <row r="144" spans="1:2" x14ac:dyDescent="0.25">
      <c r="A144" s="42"/>
      <c r="B144" s="41"/>
    </row>
    <row r="145" spans="1:2" x14ac:dyDescent="0.25">
      <c r="A145" s="42"/>
      <c r="B145" s="41"/>
    </row>
    <row r="146" spans="1:2" x14ac:dyDescent="0.25">
      <c r="A146" s="42"/>
      <c r="B146" s="41"/>
    </row>
    <row r="147" spans="1:2" x14ac:dyDescent="0.25">
      <c r="A147" s="42"/>
      <c r="B147" s="41"/>
    </row>
    <row r="148" spans="1:2" x14ac:dyDescent="0.25">
      <c r="A148" s="42"/>
      <c r="B148" s="41"/>
    </row>
    <row r="149" spans="1:2" x14ac:dyDescent="0.25">
      <c r="A149" s="42"/>
      <c r="B149" s="41"/>
    </row>
    <row r="150" spans="1:2" x14ac:dyDescent="0.25">
      <c r="A150" s="42"/>
      <c r="B150" s="41"/>
    </row>
    <row r="151" spans="1:2" x14ac:dyDescent="0.25">
      <c r="A151" s="42"/>
      <c r="B151" s="41"/>
    </row>
    <row r="152" spans="1:2" x14ac:dyDescent="0.25">
      <c r="A152" s="42"/>
      <c r="B152" s="41"/>
    </row>
    <row r="153" spans="1:2" x14ac:dyDescent="0.25">
      <c r="A153" s="42"/>
      <c r="B153" s="41"/>
    </row>
    <row r="154" spans="1:2" x14ac:dyDescent="0.25">
      <c r="A154" s="42"/>
      <c r="B154" s="41"/>
    </row>
    <row r="155" spans="1:2" x14ac:dyDescent="0.25">
      <c r="A155" s="42"/>
      <c r="B155" s="41"/>
    </row>
    <row r="156" spans="1:2" x14ac:dyDescent="0.25">
      <c r="A156" s="42"/>
      <c r="B156" s="41"/>
    </row>
    <row r="157" spans="1:2" x14ac:dyDescent="0.25">
      <c r="A157" s="42"/>
      <c r="B157" s="41"/>
    </row>
    <row r="158" spans="1:2" x14ac:dyDescent="0.25">
      <c r="A158" s="42"/>
      <c r="B158" s="41"/>
    </row>
    <row r="159" spans="1:2" x14ac:dyDescent="0.25">
      <c r="A159" s="42"/>
      <c r="B159" s="41"/>
    </row>
    <row r="160" spans="1:2" x14ac:dyDescent="0.25">
      <c r="A160" s="42"/>
      <c r="B160" s="41"/>
    </row>
    <row r="161" spans="1:2" x14ac:dyDescent="0.25">
      <c r="A161" s="42"/>
      <c r="B161" s="41"/>
    </row>
    <row r="162" spans="1:2" x14ac:dyDescent="0.25">
      <c r="A162" s="42"/>
      <c r="B162" s="41"/>
    </row>
    <row r="163" spans="1:2" x14ac:dyDescent="0.25">
      <c r="A163" s="42"/>
      <c r="B163" s="41"/>
    </row>
    <row r="164" spans="1:2" x14ac:dyDescent="0.25">
      <c r="A164" s="42"/>
      <c r="B164" s="41"/>
    </row>
    <row r="165" spans="1:2" x14ac:dyDescent="0.25">
      <c r="A165" s="42"/>
      <c r="B165" s="41"/>
    </row>
    <row r="166" spans="1:2" x14ac:dyDescent="0.25">
      <c r="A166" s="42"/>
      <c r="B166" s="41"/>
    </row>
    <row r="167" spans="1:2" x14ac:dyDescent="0.25">
      <c r="A167" s="42"/>
      <c r="B167" s="41"/>
    </row>
    <row r="168" spans="1:2" x14ac:dyDescent="0.25">
      <c r="A168" s="42"/>
      <c r="B168" s="41"/>
    </row>
    <row r="169" spans="1:2" x14ac:dyDescent="0.25">
      <c r="A169" s="42"/>
      <c r="B169" s="41"/>
    </row>
    <row r="170" spans="1:2" x14ac:dyDescent="0.25">
      <c r="A170" s="42"/>
      <c r="B170" s="41"/>
    </row>
    <row r="171" spans="1:2" x14ac:dyDescent="0.25">
      <c r="A171" s="42"/>
      <c r="B171" s="41"/>
    </row>
    <row r="172" spans="1:2" x14ac:dyDescent="0.25">
      <c r="A172" s="42"/>
      <c r="B172" s="41"/>
    </row>
    <row r="173" spans="1:2" x14ac:dyDescent="0.25">
      <c r="A173" s="42"/>
      <c r="B173" s="41"/>
    </row>
    <row r="174" spans="1:2" x14ac:dyDescent="0.25">
      <c r="A174" s="42"/>
      <c r="B174" s="41"/>
    </row>
    <row r="175" spans="1:2" x14ac:dyDescent="0.25">
      <c r="A175" s="42"/>
      <c r="B175" s="41"/>
    </row>
    <row r="176" spans="1:2" x14ac:dyDescent="0.25">
      <c r="A176" s="42"/>
      <c r="B176" s="41"/>
    </row>
    <row r="177" spans="1:2" x14ac:dyDescent="0.25">
      <c r="A177" s="42"/>
      <c r="B177" s="41"/>
    </row>
    <row r="178" spans="1:2" x14ac:dyDescent="0.25">
      <c r="A178" s="42"/>
      <c r="B178" s="41"/>
    </row>
    <row r="179" spans="1:2" x14ac:dyDescent="0.25">
      <c r="A179" s="42"/>
      <c r="B179" s="41"/>
    </row>
    <row r="180" spans="1:2" x14ac:dyDescent="0.25">
      <c r="A180" s="42"/>
      <c r="B180" s="41"/>
    </row>
    <row r="181" spans="1:2" x14ac:dyDescent="0.25">
      <c r="A181" s="42"/>
      <c r="B181" s="41"/>
    </row>
  </sheetData>
  <mergeCells count="3">
    <mergeCell ref="A1:D1"/>
    <mergeCell ref="A2:D2"/>
    <mergeCell ref="A4:D4"/>
  </mergeCells>
  <phoneticPr fontId="57" type="noConversion"/>
  <printOptions horizontalCentered="1"/>
  <pageMargins left="1.1811023622047245" right="0.78740157480314965" top="0.4" bottom="0.26" header="0.51181102362204722" footer="0.51181102362204722"/>
  <pageSetup paperSize="9" scale="6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theme="3" tint="0.39997558519241921"/>
    <pageSetUpPr fitToPage="1"/>
  </sheetPr>
  <dimension ref="A1:T36"/>
  <sheetViews>
    <sheetView view="pageBreakPreview" zoomScale="90" zoomScaleSheetLayoutView="90" workbookViewId="0">
      <selection sqref="A1:E1"/>
    </sheetView>
  </sheetViews>
  <sheetFormatPr defaultRowHeight="15.75" x14ac:dyDescent="0.25"/>
  <cols>
    <col min="1" max="1" width="9.7109375" style="28" customWidth="1"/>
    <col min="2" max="2" width="10.85546875" style="4" customWidth="1"/>
    <col min="3" max="3" width="68.140625" style="4" customWidth="1"/>
    <col min="4" max="5" width="26.28515625" style="4" customWidth="1"/>
    <col min="6" max="6" width="9.140625" style="4"/>
    <col min="7" max="7" width="12.42578125" style="4" hidden="1" customWidth="1"/>
    <col min="8" max="20" width="0" style="4" hidden="1" customWidth="1"/>
    <col min="21" max="16384" width="9.140625" style="4"/>
  </cols>
  <sheetData>
    <row r="1" spans="1:20" ht="18.75" x14ac:dyDescent="0.3">
      <c r="A1" s="1889" t="str">
        <f>Tartalomjegyzék_2018!A1</f>
        <v>Pilisvörösvár Város Önkormányzata Képviselő-testületének 2/2018. (II. 9.) önkormányzati rendelete</v>
      </c>
      <c r="B1" s="1889"/>
      <c r="C1" s="1889"/>
      <c r="D1" s="1827"/>
      <c r="E1" s="1827"/>
    </row>
    <row r="2" spans="1:20" ht="18.75" customHeight="1" x14ac:dyDescent="0.3">
      <c r="A2" s="1889" t="str">
        <f>'16. Átvett pénze.(B6,B7)'!A2:D2</f>
        <v>az Önkormányzat  2018. évi költségvetéséről</v>
      </c>
      <c r="B2" s="1889"/>
      <c r="C2" s="1889"/>
      <c r="D2" s="1827"/>
      <c r="E2" s="1827"/>
    </row>
    <row r="3" spans="1:20" ht="18.75" x14ac:dyDescent="0.3">
      <c r="A3" s="168"/>
      <c r="B3" s="7"/>
      <c r="C3" s="7"/>
    </row>
    <row r="4" spans="1:20" ht="18.75" customHeight="1" x14ac:dyDescent="0.3">
      <c r="A4" s="1889" t="str">
        <f>Tartalomjegyzék_2018!B24</f>
        <v>Pilisvörösvár Város Önkormányzata finanszírozási bevételei és kiadásai</v>
      </c>
      <c r="B4" s="1889" t="s">
        <v>344</v>
      </c>
      <c r="C4" s="1889"/>
      <c r="D4" s="1827"/>
      <c r="E4" s="1827"/>
    </row>
    <row r="5" spans="1:20" ht="18.75" customHeight="1" x14ac:dyDescent="0.3">
      <c r="A5" s="710"/>
      <c r="B5" s="710"/>
      <c r="C5" s="710"/>
      <c r="E5" s="819" t="s">
        <v>1036</v>
      </c>
    </row>
    <row r="6" spans="1:20" ht="18.75" x14ac:dyDescent="0.3">
      <c r="A6" s="168"/>
      <c r="B6" s="125"/>
      <c r="C6" s="125"/>
      <c r="E6" s="317"/>
    </row>
    <row r="7" spans="1:20" s="18" customFormat="1" ht="19.5" thickBot="1" x14ac:dyDescent="0.35">
      <c r="A7" s="28"/>
      <c r="B7" s="4"/>
      <c r="C7" s="4"/>
      <c r="E7" s="318" t="s">
        <v>329</v>
      </c>
    </row>
    <row r="8" spans="1:20" s="18" customFormat="1" ht="58.5" customHeight="1" thickBot="1" x14ac:dyDescent="0.3">
      <c r="A8" s="29" t="s">
        <v>59</v>
      </c>
      <c r="B8" s="1001" t="s">
        <v>370</v>
      </c>
      <c r="C8" s="1002" t="s">
        <v>448</v>
      </c>
      <c r="D8" s="1001" t="str">
        <f>'16. Átvett pénze.(B6,B7)'!C22</f>
        <v>Önkormányzat 2017. évi eredeti előirányzat</v>
      </c>
      <c r="E8" s="1109" t="str">
        <f>'16. Átvett pénze.(B6,B7)'!D22</f>
        <v>Önkormányzat 2018. évi eredeti előirányzat</v>
      </c>
    </row>
    <row r="9" spans="1:20" s="18" customFormat="1" ht="26.25" customHeight="1" x14ac:dyDescent="0.25">
      <c r="A9" s="1003">
        <v>1</v>
      </c>
      <c r="B9" s="172" t="s">
        <v>157</v>
      </c>
      <c r="C9" s="173" t="s">
        <v>156</v>
      </c>
      <c r="D9" s="774"/>
      <c r="E9" s="1110"/>
    </row>
    <row r="10" spans="1:20" s="18" customFormat="1" ht="30" customHeight="1" x14ac:dyDescent="0.25">
      <c r="A10" s="1004">
        <v>2</v>
      </c>
      <c r="B10" s="22" t="s">
        <v>432</v>
      </c>
      <c r="C10" s="17" t="s">
        <v>431</v>
      </c>
      <c r="D10" s="774"/>
      <c r="E10" s="1110"/>
    </row>
    <row r="11" spans="1:20" s="18" customFormat="1" ht="27" customHeight="1" x14ac:dyDescent="0.25">
      <c r="A11" s="1005">
        <v>3</v>
      </c>
      <c r="B11" s="19" t="s">
        <v>434</v>
      </c>
      <c r="C11" s="20" t="s">
        <v>433</v>
      </c>
      <c r="D11" s="821">
        <f>SUM(D9:D10)</f>
        <v>0</v>
      </c>
      <c r="E11" s="1111">
        <f>SUM(E9:E10)</f>
        <v>0</v>
      </c>
    </row>
    <row r="12" spans="1:20" s="18" customFormat="1" ht="27" customHeight="1" x14ac:dyDescent="0.25">
      <c r="A12" s="1005">
        <v>4</v>
      </c>
      <c r="B12" s="19" t="s">
        <v>649</v>
      </c>
      <c r="C12" s="20" t="s">
        <v>943</v>
      </c>
      <c r="D12" s="821"/>
      <c r="E12" s="1111">
        <v>150000</v>
      </c>
      <c r="G12" s="1890" t="s">
        <v>1033</v>
      </c>
      <c r="H12" s="1891"/>
      <c r="I12" s="1891"/>
      <c r="J12" s="1891"/>
      <c r="K12" s="1891"/>
      <c r="L12" s="1891"/>
      <c r="M12" s="1891"/>
      <c r="O12" s="1890" t="s">
        <v>1034</v>
      </c>
      <c r="P12" s="1891"/>
      <c r="Q12" s="1891"/>
      <c r="R12" s="1891"/>
      <c r="S12" s="1891"/>
      <c r="T12" s="1891"/>
    </row>
    <row r="13" spans="1:20" s="822" customFormat="1" ht="25.5" customHeight="1" x14ac:dyDescent="0.2">
      <c r="A13" s="1006">
        <v>5</v>
      </c>
      <c r="B13" s="22" t="s">
        <v>436</v>
      </c>
      <c r="C13" s="16" t="s">
        <v>435</v>
      </c>
      <c r="D13" s="774">
        <f>19955+66713+156+123+84+2211+644+400</f>
        <v>90286</v>
      </c>
      <c r="E13" s="1110">
        <f>381+1860+3232+1000+200+98+103+149+946+21436+11404+1000</f>
        <v>41809</v>
      </c>
      <c r="G13" s="823">
        <f>(283110564-68593000)/1000</f>
        <v>214517.56400000001</v>
      </c>
      <c r="H13" s="1382" t="s">
        <v>1030</v>
      </c>
      <c r="N13" s="823">
        <v>2884</v>
      </c>
      <c r="O13" s="1382" t="s">
        <v>1030</v>
      </c>
    </row>
    <row r="14" spans="1:20" s="822" customFormat="1" ht="24.75" customHeight="1" x14ac:dyDescent="0.2">
      <c r="A14" s="1006">
        <v>6</v>
      </c>
      <c r="B14" s="22" t="s">
        <v>436</v>
      </c>
      <c r="C14" s="22" t="s">
        <v>437</v>
      </c>
      <c r="D14" s="774">
        <f>9720+1500+3500+18119+1143+26738+29790+1000+3000+1000+2395+4191+699+4318+1194+2003+45+16770+10565+4757+3232+15+179469</f>
        <v>325163</v>
      </c>
      <c r="E14" s="1110">
        <f>1842+2612+7578+1524+1750+12000+12000+4826+6840+45+1300+3336+12619+13354+236+60+21+149+566+86+118+43+92+2376+80000</f>
        <v>165373</v>
      </c>
      <c r="G14" s="823">
        <f>381+1860+3232+1000+200+98+103+149+946+21436+11404+1300+1842+2612+7578+1524+1750+12000+12000+4826+6840+45+1300+3336+12619+13354+236+60+21+149+566+86+118+43+92+2376</f>
        <v>127482</v>
      </c>
      <c r="H14" s="507" t="s">
        <v>1029</v>
      </c>
      <c r="N14" s="823"/>
      <c r="O14" s="507"/>
    </row>
    <row r="15" spans="1:20" s="18" customFormat="1" ht="20.25" x14ac:dyDescent="0.3">
      <c r="A15" s="1005">
        <v>7</v>
      </c>
      <c r="B15" s="19" t="s">
        <v>439</v>
      </c>
      <c r="C15" s="19" t="s">
        <v>438</v>
      </c>
      <c r="D15" s="1115">
        <f>SUM(D13:D14)</f>
        <v>415449</v>
      </c>
      <c r="E15" s="1112">
        <f>SUM(E13:E14)</f>
        <v>207182</v>
      </c>
      <c r="G15" s="799">
        <v>80000</v>
      </c>
      <c r="H15" s="4" t="s">
        <v>1028</v>
      </c>
      <c r="O15" s="4"/>
    </row>
    <row r="16" spans="1:20" ht="20.25" x14ac:dyDescent="0.25">
      <c r="A16" s="1004">
        <v>8</v>
      </c>
      <c r="B16" s="22" t="s">
        <v>441</v>
      </c>
      <c r="C16" s="21" t="s">
        <v>440</v>
      </c>
      <c r="D16" s="774"/>
      <c r="E16" s="1110"/>
      <c r="G16" s="506">
        <f>SUM(G14:G15)</f>
        <v>207482</v>
      </c>
      <c r="H16" s="4" t="s">
        <v>1031</v>
      </c>
    </row>
    <row r="17" spans="1:13" ht="21" thickBot="1" x14ac:dyDescent="0.3">
      <c r="A17" s="1007">
        <v>9</v>
      </c>
      <c r="B17" s="395" t="s">
        <v>443</v>
      </c>
      <c r="C17" s="396" t="s">
        <v>442</v>
      </c>
      <c r="D17" s="774"/>
      <c r="E17" s="1110"/>
      <c r="G17" s="1383">
        <f>G13+N13-G16</f>
        <v>9919.564000000013</v>
      </c>
      <c r="H17" s="782" t="s">
        <v>1032</v>
      </c>
      <c r="I17" s="782"/>
      <c r="J17" s="782"/>
      <c r="K17" s="782"/>
      <c r="L17" s="782"/>
      <c r="M17" s="782"/>
    </row>
    <row r="18" spans="1:13" ht="21" thickBot="1" x14ac:dyDescent="0.35">
      <c r="A18" s="1008">
        <v>10</v>
      </c>
      <c r="B18" s="399" t="s">
        <v>445</v>
      </c>
      <c r="C18" s="400" t="s">
        <v>444</v>
      </c>
      <c r="D18" s="776">
        <f>SUM(D15:D17)+D11</f>
        <v>415449</v>
      </c>
      <c r="E18" s="1113">
        <f>SUM(E15:E17)+E11+E12</f>
        <v>357182</v>
      </c>
    </row>
    <row r="19" spans="1:13" ht="21" thickBot="1" x14ac:dyDescent="0.3">
      <c r="A19" s="1009">
        <v>11</v>
      </c>
      <c r="B19" s="397" t="s">
        <v>447</v>
      </c>
      <c r="C19" s="398" t="s">
        <v>446</v>
      </c>
      <c r="D19" s="774"/>
      <c r="E19" s="1110"/>
    </row>
    <row r="20" spans="1:13" ht="21" thickBot="1" x14ac:dyDescent="0.35">
      <c r="A20" s="1010">
        <v>12</v>
      </c>
      <c r="B20" s="1011" t="s">
        <v>449</v>
      </c>
      <c r="C20" s="1012" t="s">
        <v>448</v>
      </c>
      <c r="D20" s="1013">
        <f>SUM(D18:D19)</f>
        <v>415449</v>
      </c>
      <c r="E20" s="1114">
        <f>SUM(E18:E19)</f>
        <v>357182</v>
      </c>
      <c r="H20" s="823">
        <f>381+1860+3232+1000+200+98+103+149+946+21436+11404+1300+1842+2612+7578+1524+1500+1000+1080+1750+14736+14505+5000+6840+45+1300+3336+12619+13354+236+60+21+149+566+86+118+43+92+2376</f>
        <v>136477</v>
      </c>
      <c r="L20" s="4">
        <v>80000</v>
      </c>
    </row>
    <row r="24" spans="1:13" ht="19.5" thickBot="1" x14ac:dyDescent="0.35">
      <c r="E24" s="318" t="s">
        <v>329</v>
      </c>
    </row>
    <row r="25" spans="1:13" ht="57.75" customHeight="1" thickBot="1" x14ac:dyDescent="0.3">
      <c r="A25" s="29" t="s">
        <v>59</v>
      </c>
      <c r="B25" s="1001" t="s">
        <v>370</v>
      </c>
      <c r="C25" s="1002" t="s">
        <v>41</v>
      </c>
      <c r="D25" s="1001" t="str">
        <f>D8</f>
        <v>Önkormányzat 2017. évi eredeti előirányzat</v>
      </c>
      <c r="E25" s="1109" t="str">
        <f>E8</f>
        <v>Önkormányzat 2018. évi eredeti előirányzat</v>
      </c>
    </row>
    <row r="26" spans="1:13" ht="20.25" x14ac:dyDescent="0.3">
      <c r="A26" s="1014">
        <v>1</v>
      </c>
      <c r="B26" s="172" t="s">
        <v>350</v>
      </c>
      <c r="C26" s="174" t="s">
        <v>349</v>
      </c>
      <c r="D26" s="659">
        <v>1320</v>
      </c>
      <c r="E26" s="1205">
        <v>1320</v>
      </c>
    </row>
    <row r="27" spans="1:13" ht="34.5" customHeight="1" x14ac:dyDescent="0.3">
      <c r="A27" s="1015">
        <v>2</v>
      </c>
      <c r="B27" s="22" t="s">
        <v>348</v>
      </c>
      <c r="C27" s="17" t="s">
        <v>347</v>
      </c>
      <c r="D27" s="663"/>
      <c r="E27" s="1116"/>
    </row>
    <row r="28" spans="1:13" ht="20.25" x14ac:dyDescent="0.3">
      <c r="A28" s="1015">
        <v>3</v>
      </c>
      <c r="B28" s="22" t="s">
        <v>346</v>
      </c>
      <c r="C28" s="17" t="s">
        <v>345</v>
      </c>
      <c r="D28" s="659"/>
      <c r="E28" s="1116"/>
    </row>
    <row r="29" spans="1:13" ht="20.25" x14ac:dyDescent="0.3">
      <c r="A29" s="1005">
        <v>4</v>
      </c>
      <c r="B29" s="19" t="s">
        <v>318</v>
      </c>
      <c r="C29" s="20" t="s">
        <v>319</v>
      </c>
      <c r="D29" s="1115">
        <f>SUM(D26:D28)</f>
        <v>1320</v>
      </c>
      <c r="E29" s="1505">
        <f>SUM(E26:E28)</f>
        <v>1320</v>
      </c>
    </row>
    <row r="30" spans="1:13" ht="20.25" x14ac:dyDescent="0.3">
      <c r="A30" s="1005">
        <v>5</v>
      </c>
      <c r="B30" s="19" t="s">
        <v>320</v>
      </c>
      <c r="C30" s="169" t="s">
        <v>321</v>
      </c>
      <c r="D30" s="659"/>
      <c r="E30" s="1116"/>
    </row>
    <row r="31" spans="1:13" ht="20.25" x14ac:dyDescent="0.3">
      <c r="A31" s="1005">
        <v>6</v>
      </c>
      <c r="B31" s="19" t="s">
        <v>714</v>
      </c>
      <c r="C31" s="169" t="s">
        <v>713</v>
      </c>
      <c r="D31" s="659">
        <f>19955+644</f>
        <v>20599</v>
      </c>
      <c r="E31" s="1116">
        <v>21436</v>
      </c>
    </row>
    <row r="32" spans="1:13" ht="20.25" x14ac:dyDescent="0.3">
      <c r="A32" s="1005">
        <v>7</v>
      </c>
      <c r="B32" s="19" t="s">
        <v>332</v>
      </c>
      <c r="C32" s="169" t="s">
        <v>333</v>
      </c>
      <c r="D32" s="1115">
        <f>'2.Kiadások_részletes '!K33</f>
        <v>930477.18200000003</v>
      </c>
      <c r="E32" s="1505">
        <f>'2.Kiadások_részletes '!L33</f>
        <v>945572.37173999997</v>
      </c>
    </row>
    <row r="33" spans="1:5" ht="20.25" x14ac:dyDescent="0.3">
      <c r="A33" s="1005">
        <v>8</v>
      </c>
      <c r="B33" s="19" t="s">
        <v>322</v>
      </c>
      <c r="C33" s="169" t="s">
        <v>323</v>
      </c>
      <c r="D33" s="775">
        <f>SUM(D29:D32)</f>
        <v>952396.18200000003</v>
      </c>
      <c r="E33" s="1117">
        <f>SUM(E29:E32)</f>
        <v>968328.37173999997</v>
      </c>
    </row>
    <row r="34" spans="1:5" ht="20.25" x14ac:dyDescent="0.3">
      <c r="A34" s="1005">
        <v>9</v>
      </c>
      <c r="B34" s="19" t="s">
        <v>324</v>
      </c>
      <c r="C34" s="169" t="s">
        <v>325</v>
      </c>
      <c r="D34" s="777"/>
      <c r="E34" s="1118">
        <f t="shared" ref="E34:E35" si="0">D34</f>
        <v>0</v>
      </c>
    </row>
    <row r="35" spans="1:5" ht="21" thickBot="1" x14ac:dyDescent="0.35">
      <c r="A35" s="1005">
        <v>10</v>
      </c>
      <c r="B35" s="170" t="s">
        <v>326</v>
      </c>
      <c r="C35" s="171" t="s">
        <v>327</v>
      </c>
      <c r="D35" s="777"/>
      <c r="E35" s="1118">
        <f t="shared" si="0"/>
        <v>0</v>
      </c>
    </row>
    <row r="36" spans="1:5" ht="21" thickBot="1" x14ac:dyDescent="0.35">
      <c r="A36" s="1016">
        <v>11</v>
      </c>
      <c r="B36" s="1011" t="s">
        <v>328</v>
      </c>
      <c r="C36" s="1012" t="s">
        <v>41</v>
      </c>
      <c r="D36" s="1114">
        <f>SUM(D33:D35)</f>
        <v>952396.18200000003</v>
      </c>
      <c r="E36" s="1114">
        <f>SUM(E33:E35)</f>
        <v>968328.37173999997</v>
      </c>
    </row>
  </sheetData>
  <mergeCells count="5">
    <mergeCell ref="A1:E1"/>
    <mergeCell ref="A2:E2"/>
    <mergeCell ref="A4:E4"/>
    <mergeCell ref="G12:M12"/>
    <mergeCell ref="O12:T12"/>
  </mergeCells>
  <phoneticPr fontId="57" type="noConversion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3" tint="0.39997558519241921"/>
    <pageSetUpPr fitToPage="1"/>
  </sheetPr>
  <dimension ref="A1:J43"/>
  <sheetViews>
    <sheetView view="pageBreakPreview" zoomScale="60" workbookViewId="0">
      <selection sqref="A1:J1"/>
    </sheetView>
  </sheetViews>
  <sheetFormatPr defaultRowHeight="18.75" x14ac:dyDescent="0.3"/>
  <cols>
    <col min="1" max="1" width="87.5703125" style="301" customWidth="1"/>
    <col min="2" max="2" width="22" style="301" customWidth="1"/>
    <col min="3" max="3" width="21.7109375" style="301" customWidth="1"/>
    <col min="4" max="4" width="20.28515625" style="301" customWidth="1"/>
    <col min="5" max="5" width="21.85546875" style="301" customWidth="1"/>
    <col min="6" max="6" width="95.85546875" style="301" customWidth="1"/>
    <col min="7" max="7" width="19.85546875" style="301" customWidth="1"/>
    <col min="8" max="8" width="22.42578125" style="301" customWidth="1"/>
    <col min="9" max="9" width="24.140625" style="301" customWidth="1"/>
    <col min="10" max="10" width="23" style="301" customWidth="1"/>
    <col min="11" max="16384" width="9.140625" style="301"/>
  </cols>
  <sheetData>
    <row r="1" spans="1:10" s="357" customFormat="1" ht="28.5" x14ac:dyDescent="0.45">
      <c r="A1" s="1822" t="str">
        <f>Tartalomjegyzék_2018!A1</f>
        <v>Pilisvörösvár Város Önkormányzata Képviselő-testületének 2/2018. (II. 9.) önkormányzati rendelete</v>
      </c>
      <c r="B1" s="1822"/>
      <c r="C1" s="1822"/>
      <c r="D1" s="1822"/>
      <c r="E1" s="1822"/>
      <c r="F1" s="1822"/>
      <c r="G1" s="1823"/>
      <c r="H1" s="1823"/>
      <c r="I1" s="1823"/>
      <c r="J1" s="1823"/>
    </row>
    <row r="2" spans="1:10" s="357" customFormat="1" ht="26.25" customHeight="1" x14ac:dyDescent="0.45">
      <c r="A2" s="1822" t="str">
        <f>Tartalomjegyzék_2018!A2</f>
        <v>az Önkormányzat  2018. évi költségvetéséről</v>
      </c>
      <c r="B2" s="1822"/>
      <c r="C2" s="1822"/>
      <c r="D2" s="1822"/>
      <c r="E2" s="1822"/>
      <c r="F2" s="1822"/>
      <c r="G2" s="1823"/>
      <c r="H2" s="1823"/>
      <c r="I2" s="1823"/>
      <c r="J2" s="1823"/>
    </row>
    <row r="3" spans="1:10" s="357" customFormat="1" ht="26.25" customHeight="1" x14ac:dyDescent="0.45">
      <c r="A3" s="1822" t="str">
        <f>Tartalomjegyzék_2018!B7</f>
        <v>Pilisvörösvár Város Önkormányzata működési, felhalmozási célú bevételi és kiadási előirányzatok bemutatása</v>
      </c>
      <c r="B3" s="1822"/>
      <c r="C3" s="1822"/>
      <c r="D3" s="1822"/>
      <c r="E3" s="1822"/>
      <c r="F3" s="1822"/>
      <c r="G3" s="1823"/>
      <c r="H3" s="1823"/>
      <c r="I3" s="1823"/>
      <c r="J3" s="1823"/>
    </row>
    <row r="4" spans="1:10" s="357" customFormat="1" ht="30" customHeight="1" x14ac:dyDescent="0.4">
      <c r="A4" s="600"/>
      <c r="B4" s="778"/>
      <c r="C4" s="778"/>
      <c r="D4" s="778"/>
      <c r="E4" s="778"/>
      <c r="F4" s="600"/>
      <c r="G4" s="779"/>
      <c r="H4" s="1074"/>
      <c r="J4" s="1210" t="s">
        <v>363</v>
      </c>
    </row>
    <row r="5" spans="1:10" ht="27.75" x14ac:dyDescent="0.4">
      <c r="A5" s="8"/>
      <c r="B5" s="8"/>
      <c r="C5" s="8"/>
      <c r="D5" s="8"/>
      <c r="E5" s="8"/>
      <c r="F5" s="8"/>
      <c r="G5" s="8"/>
      <c r="H5" s="8"/>
      <c r="J5" s="1210"/>
    </row>
    <row r="6" spans="1:10" ht="24.75" customHeight="1" thickBot="1" x14ac:dyDescent="0.45">
      <c r="A6" s="7"/>
      <c r="B6" s="7"/>
      <c r="C6" s="7"/>
      <c r="D6" s="7"/>
      <c r="E6" s="7"/>
      <c r="F6" s="7"/>
      <c r="G6" s="7"/>
      <c r="H6" s="7"/>
      <c r="J6" s="1211" t="s">
        <v>364</v>
      </c>
    </row>
    <row r="7" spans="1:10" ht="23.25" x14ac:dyDescent="0.35">
      <c r="A7" s="1816" t="s">
        <v>787</v>
      </c>
      <c r="B7" s="1817"/>
      <c r="C7" s="1817"/>
      <c r="D7" s="1820"/>
      <c r="E7" s="1821"/>
      <c r="F7" s="1816" t="s">
        <v>788</v>
      </c>
      <c r="G7" s="1817"/>
      <c r="H7" s="1817"/>
      <c r="I7" s="1818"/>
      <c r="J7" s="1819"/>
    </row>
    <row r="8" spans="1:10" s="302" customFormat="1" ht="138" customHeight="1" x14ac:dyDescent="0.3">
      <c r="A8" s="967" t="s">
        <v>365</v>
      </c>
      <c r="B8" s="966" t="s">
        <v>852</v>
      </c>
      <c r="C8" s="966" t="s">
        <v>948</v>
      </c>
      <c r="D8" s="966" t="s">
        <v>853</v>
      </c>
      <c r="E8" s="966" t="s">
        <v>949</v>
      </c>
      <c r="F8" s="967" t="s">
        <v>365</v>
      </c>
      <c r="G8" s="966" t="s">
        <v>854</v>
      </c>
      <c r="H8" s="966" t="s">
        <v>950</v>
      </c>
      <c r="I8" s="966" t="s">
        <v>855</v>
      </c>
      <c r="J8" s="966" t="s">
        <v>951</v>
      </c>
    </row>
    <row r="9" spans="1:10" s="358" customFormat="1" ht="70.5" customHeight="1" x14ac:dyDescent="0.2">
      <c r="A9" s="968" t="s">
        <v>353</v>
      </c>
      <c r="B9" s="407">
        <f>'2.Bevételek_részletes'!K10</f>
        <v>880397.75899999996</v>
      </c>
      <c r="C9" s="407">
        <f>'2.Bevételek_részletes'!L10</f>
        <v>946744.55617500003</v>
      </c>
      <c r="D9" s="407">
        <f>'2.Bevételek_részletes'!M10</f>
        <v>880397.75899999996</v>
      </c>
      <c r="E9" s="1077">
        <f>'2.Bevételek_részletes'!N10</f>
        <v>946744.55617500003</v>
      </c>
      <c r="F9" s="1079" t="s">
        <v>334</v>
      </c>
      <c r="G9" s="409">
        <f>'2.Kiadások_részletes '!K11</f>
        <v>780942</v>
      </c>
      <c r="H9" s="409">
        <f>'2.Kiadások_részletes '!L11</f>
        <v>846916</v>
      </c>
      <c r="I9" s="409">
        <f>'2.Kiadások_részletes '!M11</f>
        <v>780942</v>
      </c>
      <c r="J9" s="973">
        <f>'2.Kiadások_részletes '!N11</f>
        <v>846916</v>
      </c>
    </row>
    <row r="10" spans="1:10" s="358" customFormat="1" ht="70.5" customHeight="1" x14ac:dyDescent="0.2">
      <c r="A10" s="968" t="s">
        <v>354</v>
      </c>
      <c r="B10" s="407">
        <f>'2.Bevételek_részletes'!K12</f>
        <v>0</v>
      </c>
      <c r="C10" s="407">
        <f>'2.Bevételek_részletes'!L12</f>
        <v>0</v>
      </c>
      <c r="D10" s="407">
        <f>'2.Bevételek_részletes'!M12</f>
        <v>0</v>
      </c>
      <c r="E10" s="1077">
        <f>'2.Bevételek_részletes'!N12</f>
        <v>0</v>
      </c>
      <c r="F10" s="968" t="s">
        <v>335</v>
      </c>
      <c r="G10" s="409">
        <f>'2.Kiadások_részletes '!K12</f>
        <v>177320</v>
      </c>
      <c r="H10" s="409">
        <f>'2.Kiadások_részletes '!L12</f>
        <v>171604</v>
      </c>
      <c r="I10" s="409">
        <f>'2.Kiadások_részletes '!M12</f>
        <v>177320</v>
      </c>
      <c r="J10" s="973">
        <f>'2.Kiadások_részletes '!N12</f>
        <v>171604</v>
      </c>
    </row>
    <row r="11" spans="1:10" s="358" customFormat="1" ht="70.5" customHeight="1" x14ac:dyDescent="0.2">
      <c r="A11" s="968" t="s">
        <v>355</v>
      </c>
      <c r="B11" s="407">
        <f>'2.Bevételek_részletes'!K16</f>
        <v>632200</v>
      </c>
      <c r="C11" s="407">
        <f>'2.Bevételek_részletes'!L16</f>
        <v>677188</v>
      </c>
      <c r="D11" s="407">
        <f>'2.Bevételek_részletes'!M16</f>
        <v>632200</v>
      </c>
      <c r="E11" s="1077">
        <f>'2.Bevételek_részletes'!N16</f>
        <v>677188</v>
      </c>
      <c r="F11" s="968" t="s">
        <v>336</v>
      </c>
      <c r="G11" s="409">
        <f>'2.Kiadások_részletes '!K13</f>
        <v>616436.06400000001</v>
      </c>
      <c r="H11" s="409">
        <f>'2.Kiadások_részletes '!L13</f>
        <v>644816.74173999997</v>
      </c>
      <c r="I11" s="409">
        <f>'2.Kiadások_részletes '!M13</f>
        <v>616436.06400000001</v>
      </c>
      <c r="J11" s="973">
        <f>'2.Kiadások_részletes '!N13</f>
        <v>644816.74173999997</v>
      </c>
    </row>
    <row r="12" spans="1:10" s="358" customFormat="1" ht="70.5" customHeight="1" x14ac:dyDescent="0.2">
      <c r="A12" s="968" t="s">
        <v>356</v>
      </c>
      <c r="B12" s="407">
        <f>'2.Bevételek_részletes'!K25</f>
        <v>300724.05436000001</v>
      </c>
      <c r="C12" s="407">
        <f>'2.Bevételek_részletes'!L25</f>
        <v>328678.32435999997</v>
      </c>
      <c r="D12" s="407">
        <f>'2.Bevételek_részletes'!M25</f>
        <v>300724.05436000001</v>
      </c>
      <c r="E12" s="1077">
        <f>'2.Bevételek_részletes'!N25</f>
        <v>328678.32435999997</v>
      </c>
      <c r="F12" s="968" t="s">
        <v>337</v>
      </c>
      <c r="G12" s="409">
        <f>'2.Kiadások_részletes '!K14</f>
        <v>19366</v>
      </c>
      <c r="H12" s="409">
        <f>'2.Kiadások_részletes '!L14</f>
        <v>19450</v>
      </c>
      <c r="I12" s="409">
        <f>'2.Kiadások_részletes '!M14</f>
        <v>19366</v>
      </c>
      <c r="J12" s="973">
        <f>'2.Kiadások_részletes '!N14</f>
        <v>19450</v>
      </c>
    </row>
    <row r="13" spans="1:10" s="358" customFormat="1" ht="70.5" customHeight="1" x14ac:dyDescent="0.2">
      <c r="A13" s="968" t="s">
        <v>357</v>
      </c>
      <c r="B13" s="407">
        <f>'2.Bevételek_részletes'!K28</f>
        <v>8379</v>
      </c>
      <c r="C13" s="407">
        <f>'2.Bevételek_részletes'!L28</f>
        <v>15750</v>
      </c>
      <c r="D13" s="407">
        <f>'2.Bevételek_részletes'!M28</f>
        <v>8379</v>
      </c>
      <c r="E13" s="1077">
        <f>'2.Bevételek_részletes'!N28</f>
        <v>15750</v>
      </c>
      <c r="F13" s="968" t="s">
        <v>338</v>
      </c>
      <c r="G13" s="409">
        <f>'2.Kiadások_részletes '!K19</f>
        <v>316342</v>
      </c>
      <c r="H13" s="409">
        <f>'2.Kiadások_részletes '!L19</f>
        <v>274529.31299999997</v>
      </c>
      <c r="I13" s="409">
        <f>'2.Kiadások_részletes '!M19</f>
        <v>316342</v>
      </c>
      <c r="J13" s="973">
        <f>'2.Kiadások_részletes '!N19</f>
        <v>274529.31299999997</v>
      </c>
    </row>
    <row r="14" spans="1:10" s="358" customFormat="1" ht="70.5" customHeight="1" x14ac:dyDescent="0.2">
      <c r="A14" s="968" t="s">
        <v>358</v>
      </c>
      <c r="B14" s="407">
        <f>'2.Bevételek_részletes'!K30</f>
        <v>0</v>
      </c>
      <c r="C14" s="407">
        <f>'2.Bevételek_részletes'!L30</f>
        <v>0</v>
      </c>
      <c r="D14" s="407">
        <f>'2.Bevételek_részletes'!M30</f>
        <v>0</v>
      </c>
      <c r="E14" s="1077">
        <f>'2.Bevételek_részletes'!N30</f>
        <v>0</v>
      </c>
      <c r="F14" s="968" t="s">
        <v>339</v>
      </c>
      <c r="G14" s="409">
        <f>'2.Kiadások_részletes '!K21</f>
        <v>280932</v>
      </c>
      <c r="H14" s="409">
        <f>'2.Kiadások_részletes '!L21</f>
        <v>295900</v>
      </c>
      <c r="I14" s="409">
        <f>'2.Kiadások_részletes '!M21</f>
        <v>280932</v>
      </c>
      <c r="J14" s="973">
        <f>'2.Kiadások_részletes '!N21</f>
        <v>295900</v>
      </c>
    </row>
    <row r="15" spans="1:10" s="358" customFormat="1" ht="70.5" customHeight="1" x14ac:dyDescent="0.2">
      <c r="A15" s="968" t="s">
        <v>359</v>
      </c>
      <c r="B15" s="407">
        <f>'2.Bevételek_részletes'!K33</f>
        <v>2726</v>
      </c>
      <c r="C15" s="407">
        <f>'2.Bevételek_részletes'!L33</f>
        <v>538</v>
      </c>
      <c r="D15" s="407">
        <f>'2.Bevételek_részletes'!M33</f>
        <v>2726</v>
      </c>
      <c r="E15" s="1077">
        <f>'2.Bevételek_részletes'!N33</f>
        <v>538</v>
      </c>
      <c r="F15" s="968" t="s">
        <v>340</v>
      </c>
      <c r="G15" s="409">
        <f>'2.Kiadások_részletes '!K22</f>
        <v>26619</v>
      </c>
      <c r="H15" s="409">
        <f>'2.Kiadások_részletes '!L22</f>
        <v>42263</v>
      </c>
      <c r="I15" s="409">
        <f>'2.Kiadások_részletes '!M22</f>
        <v>26619</v>
      </c>
      <c r="J15" s="973">
        <f>'2.Kiadások_részletes '!N22</f>
        <v>42263</v>
      </c>
    </row>
    <row r="16" spans="1:10" s="358" customFormat="1" ht="70.5" customHeight="1" x14ac:dyDescent="0.2">
      <c r="A16" s="969" t="s">
        <v>360</v>
      </c>
      <c r="B16" s="408">
        <f>SUM(B9:B15)</f>
        <v>1824426.81336</v>
      </c>
      <c r="C16" s="408">
        <f>SUM(C9:C15)</f>
        <v>1968898.880535</v>
      </c>
      <c r="D16" s="408">
        <f>SUM(D9:D15)</f>
        <v>1824426.81336</v>
      </c>
      <c r="E16" s="1078">
        <f>SUM(E9:E15)</f>
        <v>1968898.880535</v>
      </c>
      <c r="F16" s="968" t="s">
        <v>341</v>
      </c>
      <c r="G16" s="409">
        <f>'2.Kiadások_részletes '!K25</f>
        <v>0</v>
      </c>
      <c r="H16" s="409">
        <f>'2.Kiadások_részletes '!L25</f>
        <v>7846</v>
      </c>
      <c r="I16" s="409">
        <f>'2.Kiadások_részletes '!M25</f>
        <v>0</v>
      </c>
      <c r="J16" s="973">
        <f>'2.Kiadások_részletes '!N25</f>
        <v>7846</v>
      </c>
    </row>
    <row r="17" spans="1:10" s="358" customFormat="1" ht="70.5" customHeight="1" x14ac:dyDescent="0.2">
      <c r="A17" s="969" t="s">
        <v>361</v>
      </c>
      <c r="B17" s="407">
        <f>'2.Bevételek_részletes'!K45</f>
        <v>1345926.182</v>
      </c>
      <c r="C17" s="407">
        <f>'2.Bevételek_részletes'!L45</f>
        <v>1302754.3717399999</v>
      </c>
      <c r="D17" s="407">
        <f>'2.Bevételek_részletes'!M45</f>
        <v>415449</v>
      </c>
      <c r="E17" s="1077">
        <f>'2.Bevételek_részletes'!N45</f>
        <v>357182</v>
      </c>
      <c r="F17" s="969" t="s">
        <v>342</v>
      </c>
      <c r="G17" s="410">
        <f t="shared" ref="G17:I17" si="0">SUM(G9:G16)</f>
        <v>2217957.0640000002</v>
      </c>
      <c r="H17" s="410">
        <f>SUM(H9:H16)</f>
        <v>2303325.0547400001</v>
      </c>
      <c r="I17" s="410">
        <f t="shared" si="0"/>
        <v>2217957.0640000002</v>
      </c>
      <c r="J17" s="974">
        <f>SUM(J9:J16)</f>
        <v>2303325.0547400001</v>
      </c>
    </row>
    <row r="18" spans="1:10" s="358" customFormat="1" ht="70.5" customHeight="1" thickBot="1" x14ac:dyDescent="0.25">
      <c r="A18" s="970" t="s">
        <v>362</v>
      </c>
      <c r="B18" s="971">
        <f t="shared" ref="B18:E18" si="1">SUM(B16:B17)</f>
        <v>3170352.9953600001</v>
      </c>
      <c r="C18" s="971">
        <f t="shared" si="1"/>
        <v>3271653.2522749999</v>
      </c>
      <c r="D18" s="971">
        <f t="shared" si="1"/>
        <v>2239875.81336</v>
      </c>
      <c r="E18" s="972">
        <f t="shared" si="1"/>
        <v>2326080.880535</v>
      </c>
      <c r="F18" s="969" t="s">
        <v>343</v>
      </c>
      <c r="G18" s="410">
        <f>'2.Kiadások_részletes '!K34</f>
        <v>952396.18200000003</v>
      </c>
      <c r="H18" s="410">
        <f>'2.Kiadások_részletes '!L34</f>
        <v>968328.37173999997</v>
      </c>
      <c r="I18" s="410">
        <f>'2.Kiadások_részletes '!M34</f>
        <v>21919</v>
      </c>
      <c r="J18" s="974">
        <f>'2.Kiadások_részletes '!N34</f>
        <v>22756</v>
      </c>
    </row>
    <row r="19" spans="1:10" s="358" customFormat="1" ht="70.5" customHeight="1" thickBot="1" x14ac:dyDescent="0.25">
      <c r="B19" s="359"/>
      <c r="C19" s="359"/>
      <c r="D19" s="359"/>
      <c r="E19" s="359"/>
      <c r="F19" s="975" t="s">
        <v>352</v>
      </c>
      <c r="G19" s="971">
        <f t="shared" ref="G19:I19" si="2">SUM(G17:G18)</f>
        <v>3170353.2460000003</v>
      </c>
      <c r="H19" s="971">
        <f>SUM(H17:H18)</f>
        <v>3271653.4264799999</v>
      </c>
      <c r="I19" s="971">
        <f t="shared" si="2"/>
        <v>2239876.0640000002</v>
      </c>
      <c r="J19" s="972">
        <f>SUM(J17:J18)</f>
        <v>2326081.0547400001</v>
      </c>
    </row>
    <row r="22" spans="1:10" x14ac:dyDescent="0.3">
      <c r="B22" s="303"/>
      <c r="C22" s="303"/>
      <c r="D22" s="303"/>
      <c r="E22" s="303"/>
      <c r="G22" s="303"/>
      <c r="H22" s="303"/>
    </row>
    <row r="23" spans="1:10" x14ac:dyDescent="0.3">
      <c r="B23" s="303"/>
      <c r="C23" s="303"/>
      <c r="D23" s="303"/>
      <c r="E23" s="303"/>
      <c r="G23" s="303"/>
      <c r="H23" s="303"/>
      <c r="I23" s="303"/>
      <c r="J23" s="303"/>
    </row>
    <row r="24" spans="1:10" x14ac:dyDescent="0.3">
      <c r="B24" s="303"/>
      <c r="C24" s="303"/>
      <c r="D24" s="303"/>
      <c r="E24" s="303"/>
      <c r="G24" s="303"/>
      <c r="H24" s="303"/>
    </row>
    <row r="25" spans="1:10" x14ac:dyDescent="0.3">
      <c r="B25" s="303"/>
      <c r="C25" s="303"/>
      <c r="D25" s="303"/>
      <c r="E25" s="303"/>
      <c r="G25" s="303"/>
      <c r="H25" s="303"/>
    </row>
    <row r="26" spans="1:10" x14ac:dyDescent="0.3">
      <c r="B26" s="303"/>
      <c r="C26" s="303"/>
      <c r="G26" s="303"/>
      <c r="H26" s="303"/>
    </row>
    <row r="27" spans="1:10" x14ac:dyDescent="0.3">
      <c r="B27" s="303"/>
      <c r="C27" s="303"/>
      <c r="D27" s="303"/>
      <c r="E27" s="303"/>
    </row>
    <row r="28" spans="1:10" x14ac:dyDescent="0.3">
      <c r="A28" s="752"/>
      <c r="D28" s="303"/>
      <c r="E28" s="303"/>
    </row>
    <row r="29" spans="1:10" x14ac:dyDescent="0.3">
      <c r="A29" s="647"/>
    </row>
    <row r="30" spans="1:10" x14ac:dyDescent="0.3">
      <c r="A30" s="752"/>
      <c r="B30" s="752"/>
      <c r="C30" s="752"/>
      <c r="D30" s="752"/>
      <c r="E30" s="752"/>
      <c r="F30" s="752"/>
      <c r="G30" s="752"/>
      <c r="H30" s="752"/>
      <c r="I30" s="752"/>
    </row>
    <row r="31" spans="1:10" x14ac:dyDescent="0.3">
      <c r="A31" s="752"/>
      <c r="D31" s="303"/>
      <c r="E31" s="303"/>
    </row>
    <row r="32" spans="1:10" x14ac:dyDescent="0.3">
      <c r="A32" s="647"/>
      <c r="B32" s="647"/>
      <c r="C32" s="647"/>
      <c r="D32" s="647"/>
      <c r="E32" s="647"/>
      <c r="F32" s="647"/>
      <c r="G32" s="647"/>
      <c r="H32" s="647"/>
      <c r="I32" s="647"/>
    </row>
    <row r="33" spans="1:5" x14ac:dyDescent="0.3">
      <c r="A33" s="752"/>
    </row>
    <row r="34" spans="1:5" x14ac:dyDescent="0.3">
      <c r="B34" s="303"/>
      <c r="C34" s="303"/>
      <c r="D34" s="303"/>
      <c r="E34" s="303"/>
    </row>
    <row r="42" spans="1:5" x14ac:dyDescent="0.3">
      <c r="D42" s="303"/>
      <c r="E42" s="303"/>
    </row>
    <row r="43" spans="1:5" x14ac:dyDescent="0.3">
      <c r="B43" s="303"/>
      <c r="C43" s="303"/>
      <c r="D43" s="303"/>
      <c r="E43" s="303"/>
    </row>
  </sheetData>
  <mergeCells count="5">
    <mergeCell ref="F7:J7"/>
    <mergeCell ref="A7:E7"/>
    <mergeCell ref="A1:J1"/>
    <mergeCell ref="A2:J2"/>
    <mergeCell ref="A3:J3"/>
  </mergeCells>
  <phoneticPr fontId="57" type="noConversion"/>
  <pageMargins left="0.26" right="0.2" top="0.35" bottom="0.74803149606299213" header="0.31496062992125984" footer="0.31496062992125984"/>
  <pageSetup paperSize="9" scale="44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1"/>
  <sheetViews>
    <sheetView view="pageBreakPreview" zoomScale="80" zoomScaleNormal="100" zoomScaleSheetLayoutView="80" workbookViewId="0">
      <selection sqref="A1:G1"/>
    </sheetView>
  </sheetViews>
  <sheetFormatPr defaultRowHeight="15.75" x14ac:dyDescent="0.25"/>
  <cols>
    <col min="1" max="1" width="26.5703125" style="28" customWidth="1"/>
    <col min="2" max="2" width="12.7109375" style="48" customWidth="1"/>
    <col min="3" max="3" width="101.85546875" style="4" customWidth="1"/>
    <col min="4" max="5" width="20" style="28" customWidth="1"/>
    <col min="6" max="7" width="18.85546875" style="4" customWidth="1"/>
    <col min="8" max="8" width="15" style="4" bestFit="1" customWidth="1"/>
    <col min="9" max="9" width="27.28515625" style="4" bestFit="1" customWidth="1"/>
    <col min="10" max="10" width="18.85546875" style="4" customWidth="1"/>
    <col min="11" max="11" width="27.85546875" style="4" bestFit="1" customWidth="1"/>
    <col min="12" max="12" width="9.5703125" style="4" bestFit="1" customWidth="1"/>
    <col min="13" max="16384" width="9.140625" style="4"/>
  </cols>
  <sheetData>
    <row r="1" spans="1:10" ht="21" x14ac:dyDescent="0.35">
      <c r="A1" s="1839" t="str">
        <f>Tartalomjegyzék_2018!A1</f>
        <v>Pilisvörösvár Város Önkormányzata Képviselő-testületének 2/2018. (II. 9.) önkormányzati rendelete</v>
      </c>
      <c r="B1" s="1839"/>
      <c r="C1" s="1839"/>
      <c r="D1" s="1839"/>
      <c r="E1" s="1839"/>
      <c r="F1" s="1893"/>
      <c r="G1" s="1893"/>
      <c r="H1" s="746"/>
    </row>
    <row r="2" spans="1:10" ht="21" x14ac:dyDescent="0.35">
      <c r="A2" s="1839" t="str">
        <f>'17. finanszírozás be_ki (B8,K9)'!A2:D2</f>
        <v>az Önkormányzat  2018. évi költségvetéséről</v>
      </c>
      <c r="B2" s="1839"/>
      <c r="C2" s="1839"/>
      <c r="D2" s="1839"/>
      <c r="E2" s="1839"/>
      <c r="F2" s="1893"/>
      <c r="G2" s="1893"/>
      <c r="H2" s="746"/>
    </row>
    <row r="3" spans="1:10" ht="21" x14ac:dyDescent="0.35">
      <c r="A3" s="1839"/>
      <c r="B3" s="1892"/>
      <c r="C3" s="1892"/>
      <c r="D3" s="1892"/>
      <c r="E3" s="1208"/>
      <c r="F3" s="1046"/>
      <c r="G3" s="1046"/>
    </row>
    <row r="4" spans="1:10" ht="21" x14ac:dyDescent="0.35">
      <c r="A4" s="1839" t="str">
        <f>Tartalomjegyzék_2018!B25</f>
        <v>Pilisvörösvár Város Önkormányzata és a Pilisvörösvári Polgármesteri Hivatal dologi kiadás előirányzata</v>
      </c>
      <c r="B4" s="1839"/>
      <c r="C4" s="1839"/>
      <c r="D4" s="1839"/>
      <c r="E4" s="1839"/>
      <c r="F4" s="1893"/>
      <c r="G4" s="1893"/>
      <c r="H4" s="746"/>
    </row>
    <row r="5" spans="1:10" ht="20.25" x14ac:dyDescent="0.3">
      <c r="A5" s="709"/>
      <c r="B5" s="709"/>
      <c r="C5" s="709"/>
      <c r="D5" s="709"/>
      <c r="E5" s="1070"/>
      <c r="G5" s="990" t="s">
        <v>1037</v>
      </c>
      <c r="H5" s="719"/>
    </row>
    <row r="6" spans="1:10" ht="20.25" x14ac:dyDescent="0.25">
      <c r="A6" s="461"/>
      <c r="B6" s="462"/>
      <c r="C6" s="462"/>
      <c r="D6" s="704"/>
      <c r="E6" s="1073"/>
      <c r="G6" s="1036"/>
      <c r="H6" s="316"/>
      <c r="J6" s="508"/>
    </row>
    <row r="7" spans="1:10" ht="20.25" x14ac:dyDescent="0.3">
      <c r="G7" s="996" t="s">
        <v>329</v>
      </c>
      <c r="H7" s="316"/>
    </row>
    <row r="8" spans="1:10" ht="84" customHeight="1" x14ac:dyDescent="0.25">
      <c r="A8" s="997" t="s">
        <v>278</v>
      </c>
      <c r="B8" s="997" t="s">
        <v>59</v>
      </c>
      <c r="C8" s="998" t="s">
        <v>261</v>
      </c>
      <c r="D8" s="999" t="str">
        <f>'17. finanszírozás be_ki (B8,K9)'!D25</f>
        <v>Önkormányzat 2017. évi eredeti előirányzat</v>
      </c>
      <c r="E8" s="999" t="str">
        <f>'17. finanszírozás be_ki (B8,K9)'!E25</f>
        <v>Önkormányzat 2018. évi eredeti előirányzat</v>
      </c>
      <c r="F8" s="999" t="str">
        <f>'2.Kiadások_részletes '!E8</f>
        <v>Polgármesteri Hivatal 2017. évi eredeti előirányzat</v>
      </c>
      <c r="G8" s="999" t="str">
        <f>'2.Kiadások_részletes '!F8</f>
        <v>Polgármesteri Hivatal 2018. évi eredeti előirányzat</v>
      </c>
      <c r="H8" s="747"/>
      <c r="J8" s="507"/>
    </row>
    <row r="9" spans="1:10" ht="20.25" x14ac:dyDescent="0.25">
      <c r="A9" s="1054" t="s">
        <v>279</v>
      </c>
      <c r="B9" s="1054">
        <v>1</v>
      </c>
      <c r="C9" s="1055" t="s">
        <v>280</v>
      </c>
      <c r="D9" s="653">
        <f>'19. Dologi kiad.igazg. (K3)'!E57</f>
        <v>52480</v>
      </c>
      <c r="E9" s="928">
        <f>'19. Dologi kiad.igazg. (K3)'!F57</f>
        <v>64667</v>
      </c>
      <c r="F9" s="653">
        <f>'19. Dologi kiad.igazg. (K3)'!G57</f>
        <v>46326</v>
      </c>
      <c r="G9" s="653">
        <f>'19. Dologi kiad.igazg. (K3)'!H57</f>
        <v>47012</v>
      </c>
      <c r="H9" s="748"/>
    </row>
    <row r="10" spans="1:10" ht="40.5" x14ac:dyDescent="0.25">
      <c r="A10" s="1054" t="s">
        <v>281</v>
      </c>
      <c r="B10" s="1054">
        <v>2</v>
      </c>
      <c r="C10" s="1055" t="s">
        <v>282</v>
      </c>
      <c r="D10" s="653">
        <v>8141</v>
      </c>
      <c r="E10" s="928">
        <v>9122</v>
      </c>
      <c r="F10" s="653"/>
      <c r="G10" s="653"/>
      <c r="H10" s="748"/>
    </row>
    <row r="11" spans="1:10" ht="40.5" x14ac:dyDescent="0.25">
      <c r="A11" s="1054" t="s">
        <v>283</v>
      </c>
      <c r="B11" s="1054">
        <v>3</v>
      </c>
      <c r="C11" s="1055" t="s">
        <v>284</v>
      </c>
      <c r="D11" s="653">
        <v>3245</v>
      </c>
      <c r="E11" s="928">
        <v>2490</v>
      </c>
      <c r="F11" s="653"/>
      <c r="G11" s="653"/>
      <c r="H11" s="748"/>
      <c r="I11" s="506"/>
    </row>
    <row r="12" spans="1:10" ht="40.5" x14ac:dyDescent="0.25">
      <c r="A12" s="1054" t="s">
        <v>283</v>
      </c>
      <c r="B12" s="1054">
        <v>4</v>
      </c>
      <c r="C12" s="1055" t="s">
        <v>1108</v>
      </c>
      <c r="D12" s="653">
        <v>14664</v>
      </c>
      <c r="E12" s="928">
        <v>16641</v>
      </c>
      <c r="F12" s="928"/>
      <c r="G12" s="653"/>
      <c r="H12" s="749"/>
    </row>
    <row r="13" spans="1:10" ht="20.25" x14ac:dyDescent="0.25">
      <c r="A13" s="1056" t="s">
        <v>996</v>
      </c>
      <c r="B13" s="1054">
        <v>5</v>
      </c>
      <c r="C13" s="1055" t="s">
        <v>997</v>
      </c>
      <c r="D13" s="653"/>
      <c r="E13" s="928">
        <v>128</v>
      </c>
      <c r="F13" s="928"/>
      <c r="G13" s="653"/>
      <c r="H13" s="749"/>
    </row>
    <row r="14" spans="1:10" ht="30.75" customHeight="1" x14ac:dyDescent="0.25">
      <c r="A14" s="1056" t="s">
        <v>825</v>
      </c>
      <c r="B14" s="1054">
        <v>6</v>
      </c>
      <c r="C14" s="1055" t="s">
        <v>1047</v>
      </c>
      <c r="D14" s="653">
        <v>1500</v>
      </c>
      <c r="E14" s="928">
        <v>500</v>
      </c>
      <c r="F14" s="928"/>
      <c r="G14" s="653"/>
      <c r="H14" s="749"/>
    </row>
    <row r="15" spans="1:10" ht="40.5" x14ac:dyDescent="0.25">
      <c r="A15" s="1054" t="s">
        <v>285</v>
      </c>
      <c r="B15" s="1054">
        <v>7</v>
      </c>
      <c r="C15" s="1055" t="s">
        <v>717</v>
      </c>
      <c r="D15" s="653">
        <v>42218</v>
      </c>
      <c r="E15" s="928">
        <v>44105</v>
      </c>
      <c r="F15" s="928"/>
      <c r="G15" s="653"/>
      <c r="H15" s="749"/>
    </row>
    <row r="16" spans="1:10" ht="20.25" x14ac:dyDescent="0.25">
      <c r="A16" s="1054" t="s">
        <v>286</v>
      </c>
      <c r="B16" s="1054">
        <v>8</v>
      </c>
      <c r="C16" s="1055" t="s">
        <v>351</v>
      </c>
      <c r="D16" s="653">
        <v>3100</v>
      </c>
      <c r="E16" s="928">
        <v>3281</v>
      </c>
      <c r="F16" s="928"/>
      <c r="G16" s="653"/>
      <c r="H16" s="749"/>
    </row>
    <row r="17" spans="1:9" ht="20.25" x14ac:dyDescent="0.25">
      <c r="A17" s="1056" t="s">
        <v>881</v>
      </c>
      <c r="B17" s="1054">
        <v>9</v>
      </c>
      <c r="C17" s="1055" t="s">
        <v>880</v>
      </c>
      <c r="D17" s="653">
        <v>500</v>
      </c>
      <c r="E17" s="928">
        <v>0</v>
      </c>
      <c r="F17" s="928"/>
      <c r="G17" s="653"/>
      <c r="H17" s="749"/>
    </row>
    <row r="18" spans="1:9" ht="20.25" x14ac:dyDescent="0.25">
      <c r="A18" s="1054" t="s">
        <v>718</v>
      </c>
      <c r="B18" s="1054">
        <v>10</v>
      </c>
      <c r="C18" s="1057" t="s">
        <v>719</v>
      </c>
      <c r="D18" s="653">
        <v>84</v>
      </c>
      <c r="E18" s="928">
        <v>86</v>
      </c>
      <c r="F18" s="928"/>
      <c r="G18" s="653"/>
      <c r="H18" s="749"/>
    </row>
    <row r="19" spans="1:9" ht="20.25" x14ac:dyDescent="0.25">
      <c r="A19" s="1056" t="s">
        <v>942</v>
      </c>
      <c r="B19" s="1054">
        <v>11</v>
      </c>
      <c r="C19" s="1057" t="s">
        <v>941</v>
      </c>
      <c r="D19" s="653"/>
      <c r="E19" s="928">
        <v>0</v>
      </c>
      <c r="F19" s="928"/>
      <c r="G19" s="653"/>
      <c r="H19" s="749"/>
    </row>
    <row r="20" spans="1:9" ht="20.25" x14ac:dyDescent="0.25">
      <c r="A20" s="1056" t="s">
        <v>842</v>
      </c>
      <c r="B20" s="1054">
        <v>12</v>
      </c>
      <c r="C20" s="1057" t="s">
        <v>843</v>
      </c>
      <c r="D20" s="653">
        <v>485</v>
      </c>
      <c r="E20" s="928">
        <v>494</v>
      </c>
      <c r="F20" s="928"/>
      <c r="G20" s="653"/>
      <c r="H20" s="749"/>
    </row>
    <row r="21" spans="1:9" ht="20.25" x14ac:dyDescent="0.25">
      <c r="A21" s="1056" t="s">
        <v>837</v>
      </c>
      <c r="B21" s="1054">
        <v>13</v>
      </c>
      <c r="C21" s="1058" t="s">
        <v>1090</v>
      </c>
      <c r="D21" s="928">
        <v>0</v>
      </c>
      <c r="E21" s="928">
        <f>600</f>
        <v>600</v>
      </c>
      <c r="F21" s="928"/>
      <c r="G21" s="653"/>
      <c r="H21" s="749"/>
    </row>
    <row r="22" spans="1:9" ht="20.25" x14ac:dyDescent="0.25">
      <c r="A22" s="1054" t="s">
        <v>287</v>
      </c>
      <c r="B22" s="1054">
        <v>14</v>
      </c>
      <c r="C22" s="1055" t="s">
        <v>288</v>
      </c>
      <c r="D22" s="653">
        <v>22754</v>
      </c>
      <c r="E22" s="928">
        <v>23804</v>
      </c>
      <c r="F22" s="928"/>
      <c r="G22" s="653"/>
      <c r="H22" s="749"/>
    </row>
    <row r="23" spans="1:9" ht="40.5" x14ac:dyDescent="0.25">
      <c r="A23" s="1054" t="s">
        <v>289</v>
      </c>
      <c r="B23" s="1054">
        <v>15</v>
      </c>
      <c r="C23" s="1055" t="s">
        <v>1132</v>
      </c>
      <c r="D23" s="653">
        <v>14268</v>
      </c>
      <c r="E23" s="928">
        <v>13732</v>
      </c>
      <c r="F23" s="653"/>
      <c r="G23" s="653"/>
      <c r="H23" s="749"/>
    </row>
    <row r="24" spans="1:9" ht="207.75" x14ac:dyDescent="0.25">
      <c r="A24" s="1054" t="s">
        <v>290</v>
      </c>
      <c r="B24" s="1054">
        <v>16</v>
      </c>
      <c r="C24" s="1055" t="s">
        <v>1109</v>
      </c>
      <c r="D24" s="653">
        <v>14820</v>
      </c>
      <c r="E24" s="928">
        <v>18022</v>
      </c>
      <c r="F24" s="928">
        <v>770</v>
      </c>
      <c r="G24" s="653">
        <v>482</v>
      </c>
    </row>
    <row r="25" spans="1:9" ht="20.25" x14ac:dyDescent="0.25">
      <c r="A25" s="1056" t="s">
        <v>944</v>
      </c>
      <c r="B25" s="1054">
        <v>17</v>
      </c>
      <c r="C25" s="1055" t="s">
        <v>1110</v>
      </c>
      <c r="D25" s="653"/>
      <c r="E25" s="928">
        <v>563</v>
      </c>
      <c r="F25" s="928"/>
      <c r="G25" s="653"/>
      <c r="H25" s="748"/>
    </row>
    <row r="26" spans="1:9" ht="20.25" x14ac:dyDescent="0.25">
      <c r="A26" s="1056" t="s">
        <v>291</v>
      </c>
      <c r="B26" s="1054">
        <v>20</v>
      </c>
      <c r="C26" s="1055" t="s">
        <v>1046</v>
      </c>
      <c r="D26" s="653">
        <v>3125</v>
      </c>
      <c r="E26" s="928">
        <v>4260</v>
      </c>
      <c r="F26" s="928"/>
      <c r="G26" s="653"/>
      <c r="H26" s="749"/>
    </row>
    <row r="27" spans="1:9" ht="32.25" hidden="1" customHeight="1" x14ac:dyDescent="0.25">
      <c r="A27" s="1056" t="s">
        <v>840</v>
      </c>
      <c r="B27" s="1054">
        <v>21</v>
      </c>
      <c r="C27" s="1055" t="s">
        <v>841</v>
      </c>
      <c r="D27" s="653"/>
      <c r="E27" s="928"/>
      <c r="F27" s="928"/>
      <c r="G27" s="653"/>
      <c r="H27" s="749"/>
    </row>
    <row r="28" spans="1:9" ht="60.75" hidden="1" x14ac:dyDescent="0.25">
      <c r="A28" s="1056" t="s">
        <v>844</v>
      </c>
      <c r="B28" s="1054">
        <v>22</v>
      </c>
      <c r="C28" s="1055" t="s">
        <v>845</v>
      </c>
      <c r="D28" s="653"/>
      <c r="E28" s="928"/>
      <c r="F28" s="928"/>
      <c r="G28" s="653"/>
      <c r="H28" s="749"/>
    </row>
    <row r="29" spans="1:9" ht="20.25" x14ac:dyDescent="0.25">
      <c r="A29" s="1056" t="s">
        <v>889</v>
      </c>
      <c r="B29" s="1054">
        <v>21</v>
      </c>
      <c r="C29" s="1055" t="s">
        <v>890</v>
      </c>
      <c r="D29" s="653">
        <v>0</v>
      </c>
      <c r="E29" s="928">
        <v>0</v>
      </c>
      <c r="F29" s="928">
        <v>7416</v>
      </c>
      <c r="G29" s="653">
        <v>8222</v>
      </c>
      <c r="H29" s="749"/>
    </row>
    <row r="30" spans="1:9" ht="20.25" x14ac:dyDescent="0.25">
      <c r="A30" s="1054" t="s">
        <v>693</v>
      </c>
      <c r="B30" s="1054">
        <v>23</v>
      </c>
      <c r="C30" s="1055" t="s">
        <v>1134</v>
      </c>
      <c r="D30" s="928">
        <v>863</v>
      </c>
      <c r="E30" s="928">
        <v>0</v>
      </c>
      <c r="F30" s="928">
        <f>24842+24697+1516</f>
        <v>51055</v>
      </c>
      <c r="G30" s="653">
        <f>(25943543+2797426)/1000+(2964063+319607)/1000+(4040694+435698)/1000+1369</f>
        <v>37870.031000000003</v>
      </c>
      <c r="H30" s="757"/>
      <c r="I30" s="506"/>
    </row>
    <row r="31" spans="1:9" ht="20.25" x14ac:dyDescent="0.25">
      <c r="A31" s="1054" t="s">
        <v>693</v>
      </c>
      <c r="B31" s="1054">
        <v>24</v>
      </c>
      <c r="C31" s="1055" t="s">
        <v>1133</v>
      </c>
      <c r="D31" s="928">
        <v>806</v>
      </c>
      <c r="E31" s="928">
        <v>0</v>
      </c>
      <c r="F31" s="928">
        <f>21446+28623+471+4713</f>
        <v>55253</v>
      </c>
      <c r="G31" s="928">
        <f>(14603203+1857400)/1000+(1880632+2563731)/1000+2409</f>
        <v>23313.966</v>
      </c>
      <c r="H31" s="757"/>
      <c r="I31" s="506"/>
    </row>
    <row r="32" spans="1:9" ht="22.5" customHeight="1" x14ac:dyDescent="0.25">
      <c r="A32" s="1054">
        <v>104035</v>
      </c>
      <c r="B32" s="1054">
        <v>27</v>
      </c>
      <c r="C32" s="1058" t="s">
        <v>1135</v>
      </c>
      <c r="D32" s="928">
        <v>382</v>
      </c>
      <c r="E32" s="928">
        <v>0</v>
      </c>
      <c r="F32" s="928">
        <f>1466+22</f>
        <v>1488</v>
      </c>
      <c r="G32" s="928">
        <f>(1082992+111161)/1000+(136433+185989)/1000+22</f>
        <v>1538.575</v>
      </c>
    </row>
    <row r="33" spans="1:9" ht="20.25" x14ac:dyDescent="0.25">
      <c r="A33" s="1054">
        <v>107051</v>
      </c>
      <c r="B33" s="1054">
        <v>28</v>
      </c>
      <c r="C33" s="1055" t="s">
        <v>671</v>
      </c>
      <c r="D33" s="928">
        <v>60</v>
      </c>
      <c r="E33" s="928">
        <v>0</v>
      </c>
      <c r="F33" s="928">
        <f>4739+1313</f>
        <v>6052</v>
      </c>
      <c r="G33" s="928">
        <f>3423272/1000*1.27+1521</f>
        <v>5868.5554400000001</v>
      </c>
      <c r="H33" s="749"/>
    </row>
    <row r="34" spans="1:9" ht="20.25" x14ac:dyDescent="0.25">
      <c r="A34" s="1054" t="s">
        <v>826</v>
      </c>
      <c r="B34" s="1054">
        <v>29</v>
      </c>
      <c r="C34" s="1055" t="s">
        <v>729</v>
      </c>
      <c r="D34" s="928">
        <v>44</v>
      </c>
      <c r="E34" s="928">
        <v>0</v>
      </c>
      <c r="F34" s="928">
        <f>3741+1037</f>
        <v>4778</v>
      </c>
      <c r="G34" s="928">
        <f>2178446/1000*1.27+968</f>
        <v>3734.6264200000001</v>
      </c>
      <c r="H34" s="749"/>
      <c r="I34" s="506"/>
    </row>
    <row r="35" spans="1:9" ht="20.25" x14ac:dyDescent="0.25">
      <c r="A35" s="1054" t="s">
        <v>827</v>
      </c>
      <c r="B35" s="1054">
        <v>30</v>
      </c>
      <c r="C35" s="1055" t="s">
        <v>720</v>
      </c>
      <c r="D35" s="928">
        <v>50</v>
      </c>
      <c r="E35" s="928">
        <v>0</v>
      </c>
      <c r="F35" s="928">
        <f>3851+1065</f>
        <v>4916</v>
      </c>
      <c r="G35" s="928">
        <f>2404834/1000*1.27+1065</f>
        <v>4119.1391800000001</v>
      </c>
      <c r="H35" s="749"/>
      <c r="I35" s="506"/>
    </row>
    <row r="36" spans="1:9" ht="20.25" x14ac:dyDescent="0.25">
      <c r="A36" s="1054">
        <v>101221</v>
      </c>
      <c r="B36" s="1054">
        <v>31</v>
      </c>
      <c r="C36" s="1055" t="s">
        <v>728</v>
      </c>
      <c r="D36" s="928">
        <v>6</v>
      </c>
      <c r="E36" s="928">
        <v>0</v>
      </c>
      <c r="F36" s="928">
        <f>624+173</f>
        <v>797</v>
      </c>
      <c r="G36" s="928">
        <f>466810/1000*1.27+207</f>
        <v>799.84870000000001</v>
      </c>
      <c r="H36" s="820"/>
      <c r="I36" s="506"/>
    </row>
    <row r="37" spans="1:9" ht="20.25" customHeight="1" thickBot="1" x14ac:dyDescent="0.3">
      <c r="A37" s="1059" t="s">
        <v>816</v>
      </c>
      <c r="B37" s="1054">
        <v>32</v>
      </c>
      <c r="C37" s="1060" t="s">
        <v>879</v>
      </c>
      <c r="D37" s="654">
        <f>(1648+529)*1.004</f>
        <v>2185.7080000000001</v>
      </c>
      <c r="E37" s="928">
        <f>140+432+1200+38</f>
        <v>1810</v>
      </c>
      <c r="F37" s="1000">
        <f>(22303+10036)*1.004</f>
        <v>32468.356</v>
      </c>
      <c r="G37" s="928">
        <f>39705+22280</f>
        <v>61985</v>
      </c>
      <c r="H37" s="749"/>
      <c r="I37" s="28"/>
    </row>
    <row r="38" spans="1:9" ht="21" thickBot="1" x14ac:dyDescent="0.35">
      <c r="A38" s="743" t="s">
        <v>292</v>
      </c>
      <c r="B38" s="49"/>
      <c r="C38" s="50"/>
      <c r="D38" s="652">
        <f t="shared" ref="D38:G38" si="0">SUM(D9:D37)</f>
        <v>185780.70800000001</v>
      </c>
      <c r="E38" s="652">
        <f>SUM(E9:E37)</f>
        <v>204305</v>
      </c>
      <c r="F38" s="734">
        <f t="shared" si="0"/>
        <v>211319.356</v>
      </c>
      <c r="G38" s="734">
        <f t="shared" si="0"/>
        <v>194945.74174</v>
      </c>
      <c r="H38" s="748"/>
    </row>
    <row r="39" spans="1:9" ht="20.25" x14ac:dyDescent="0.25">
      <c r="H39" s="750"/>
    </row>
    <row r="41" spans="1:9" x14ac:dyDescent="0.25">
      <c r="E41" s="1158"/>
    </row>
  </sheetData>
  <mergeCells count="4">
    <mergeCell ref="A3:D3"/>
    <mergeCell ref="A1:G1"/>
    <mergeCell ref="A2:G2"/>
    <mergeCell ref="A4:G4"/>
  </mergeCells>
  <pageMargins left="0.19" right="0.12" top="1" bottom="1" header="0.5" footer="0.5"/>
  <pageSetup paperSize="9" scale="51" orientation="portrait" r:id="rId1"/>
  <headerFooter alignWithMargins="0"/>
  <rowBreaks count="1" manualBreakCount="1">
    <brk id="35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9"/>
  <sheetViews>
    <sheetView view="pageBreakPreview" topLeftCell="B1" zoomScale="80" zoomScaleSheetLayoutView="80" workbookViewId="0">
      <selection sqref="A1:H1"/>
    </sheetView>
  </sheetViews>
  <sheetFormatPr defaultColWidth="36.5703125" defaultRowHeight="15" x14ac:dyDescent="0.25"/>
  <cols>
    <col min="1" max="1" width="13.28515625" style="597" hidden="1" customWidth="1"/>
    <col min="2" max="2" width="8.28515625" style="596" customWidth="1"/>
    <col min="3" max="3" width="15" style="597" customWidth="1"/>
    <col min="4" max="4" width="78.28515625" style="592" customWidth="1"/>
    <col min="5" max="6" width="18.140625" style="595" customWidth="1"/>
    <col min="7" max="9" width="16.85546875" style="592" customWidth="1"/>
    <col min="10" max="10" width="27.5703125" style="510" customWidth="1"/>
    <col min="11" max="11" width="36.5703125" style="510"/>
    <col min="12" max="12" width="7.42578125" style="510" customWidth="1"/>
    <col min="13" max="13" width="16.7109375" style="510" customWidth="1"/>
    <col min="14" max="16384" width="36.5703125" style="510"/>
  </cols>
  <sheetData>
    <row r="1" spans="1:11" ht="18.75" x14ac:dyDescent="0.25">
      <c r="A1" s="1840" t="str">
        <f>Tartalomjegyzék_2018!A1</f>
        <v>Pilisvörösvár Város Önkormányzata Képviselő-testületének 2/2018. (II. 9.) önkormányzati rendelete</v>
      </c>
      <c r="B1" s="1840"/>
      <c r="C1" s="1840"/>
      <c r="D1" s="1840"/>
      <c r="E1" s="1840"/>
      <c r="F1" s="1840"/>
      <c r="G1" s="1894"/>
      <c r="H1" s="1894"/>
      <c r="I1" s="1132"/>
    </row>
    <row r="2" spans="1:11" ht="18.75" customHeight="1" x14ac:dyDescent="0.25">
      <c r="A2" s="1840" t="str">
        <f>'18. Dologi kiadások cofog(K3)'!A2:F2</f>
        <v>az Önkormányzat  2018. évi költségvetéséről</v>
      </c>
      <c r="B2" s="1840"/>
      <c r="C2" s="1840"/>
      <c r="D2" s="1840"/>
      <c r="E2" s="1840"/>
      <c r="F2" s="1840"/>
      <c r="G2" s="1894"/>
      <c r="H2" s="1894"/>
      <c r="I2" s="1132"/>
    </row>
    <row r="3" spans="1:11" ht="18.75" customHeight="1" x14ac:dyDescent="0.25">
      <c r="A3" s="1840" t="str">
        <f>Tartalomjegyzék_2018!B26</f>
        <v>Pilisvörösvár Város Önkormányzata jogalkotó és általános igazgatási tevékenységének dologi kiadásai</v>
      </c>
      <c r="B3" s="1840"/>
      <c r="C3" s="1840"/>
      <c r="D3" s="1840"/>
      <c r="E3" s="1840"/>
      <c r="F3" s="1840"/>
      <c r="G3" s="1894"/>
      <c r="H3" s="1894"/>
      <c r="I3" s="1132"/>
    </row>
    <row r="4" spans="1:11" ht="18.75" x14ac:dyDescent="0.3">
      <c r="A4" s="708"/>
      <c r="B4" s="708"/>
      <c r="C4" s="708"/>
      <c r="D4" s="708"/>
      <c r="E4" s="708"/>
      <c r="F4" s="708"/>
      <c r="H4" s="719" t="s">
        <v>1038</v>
      </c>
      <c r="I4" s="719"/>
    </row>
    <row r="5" spans="1:11" ht="18.75" x14ac:dyDescent="0.25">
      <c r="A5" s="593"/>
      <c r="B5" s="594"/>
      <c r="C5" s="594"/>
      <c r="D5" s="594"/>
      <c r="E5" s="594"/>
      <c r="F5" s="594"/>
      <c r="H5" s="317"/>
      <c r="I5" s="640"/>
    </row>
    <row r="6" spans="1:11" ht="19.5" thickBot="1" x14ac:dyDescent="0.3">
      <c r="A6" s="592"/>
      <c r="H6" s="888" t="s">
        <v>329</v>
      </c>
      <c r="I6" s="888"/>
    </row>
    <row r="7" spans="1:11" s="509" customFormat="1" ht="101.25" customHeight="1" x14ac:dyDescent="0.25">
      <c r="A7" s="1165" t="s">
        <v>166</v>
      </c>
      <c r="B7" s="929" t="s">
        <v>3</v>
      </c>
      <c r="C7" s="1173" t="s">
        <v>166</v>
      </c>
      <c r="D7" s="930" t="s">
        <v>369</v>
      </c>
      <c r="E7" s="1124" t="str">
        <f>'18. Dologi kiadások cofog(K3)'!D8</f>
        <v>Önkormányzat 2017. évi eredeti előirányzat</v>
      </c>
      <c r="F7" s="932" t="str">
        <f>'18. Dologi kiadások cofog(K3)'!E8</f>
        <v>Önkormányzat 2018. évi eredeti előirányzat</v>
      </c>
      <c r="G7" s="931" t="str">
        <f>'18. Dologi kiadások cofog(K3)'!F8</f>
        <v>Polgármesteri Hivatal 2017. évi eredeti előirányzat</v>
      </c>
      <c r="H7" s="932" t="str">
        <f>'18. Dologi kiadások cofog(K3)'!G8</f>
        <v>Polgármesteri Hivatal 2018. évi eredeti előirányzat</v>
      </c>
      <c r="I7" s="1134"/>
    </row>
    <row r="8" spans="1:11" ht="23.25" x14ac:dyDescent="0.25">
      <c r="A8" s="1166" t="s">
        <v>167</v>
      </c>
      <c r="B8" s="1174" t="s">
        <v>168</v>
      </c>
      <c r="C8" s="1175" t="s">
        <v>169</v>
      </c>
      <c r="D8" s="598" t="s">
        <v>798</v>
      </c>
      <c r="E8" s="1125">
        <v>500</v>
      </c>
      <c r="F8" s="934">
        <v>1500</v>
      </c>
      <c r="G8" s="933">
        <v>15</v>
      </c>
      <c r="H8" s="934">
        <v>15</v>
      </c>
      <c r="I8" s="1135"/>
    </row>
    <row r="9" spans="1:11" ht="23.25" x14ac:dyDescent="0.25">
      <c r="A9" s="1166" t="s">
        <v>170</v>
      </c>
      <c r="B9" s="1174" t="s">
        <v>171</v>
      </c>
      <c r="C9" s="1175" t="s">
        <v>169</v>
      </c>
      <c r="D9" s="598" t="s">
        <v>172</v>
      </c>
      <c r="E9" s="1125">
        <v>17</v>
      </c>
      <c r="F9" s="934">
        <v>0</v>
      </c>
      <c r="G9" s="933">
        <v>55</v>
      </c>
      <c r="H9" s="934">
        <v>128</v>
      </c>
      <c r="I9" s="1135"/>
    </row>
    <row r="10" spans="1:11" ht="23.25" x14ac:dyDescent="0.25">
      <c r="A10" s="1167" t="s">
        <v>173</v>
      </c>
      <c r="B10" s="1174" t="s">
        <v>817</v>
      </c>
      <c r="C10" s="1175" t="s">
        <v>169</v>
      </c>
      <c r="D10" s="598" t="s">
        <v>734</v>
      </c>
      <c r="E10" s="1125"/>
      <c r="F10" s="934">
        <v>0</v>
      </c>
      <c r="G10" s="933">
        <v>0</v>
      </c>
      <c r="H10" s="934">
        <v>0</v>
      </c>
      <c r="I10" s="1135"/>
    </row>
    <row r="11" spans="1:11" ht="23.25" hidden="1" x14ac:dyDescent="0.25">
      <c r="A11" s="1167" t="s">
        <v>173</v>
      </c>
      <c r="B11" s="1174" t="s">
        <v>174</v>
      </c>
      <c r="C11" s="1175" t="s">
        <v>169</v>
      </c>
      <c r="D11" s="598" t="s">
        <v>675</v>
      </c>
      <c r="E11" s="1125"/>
      <c r="F11" s="934"/>
      <c r="G11" s="933"/>
      <c r="H11" s="934"/>
      <c r="I11" s="1135"/>
    </row>
    <row r="12" spans="1:11" ht="23.25" x14ac:dyDescent="0.25">
      <c r="A12" s="1167" t="s">
        <v>175</v>
      </c>
      <c r="B12" s="1174" t="s">
        <v>174</v>
      </c>
      <c r="C12" s="1175" t="s">
        <v>177</v>
      </c>
      <c r="D12" s="598" t="s">
        <v>748</v>
      </c>
      <c r="E12" s="1125"/>
      <c r="F12" s="934">
        <v>0</v>
      </c>
      <c r="G12" s="933">
        <v>0</v>
      </c>
      <c r="H12" s="934">
        <v>0</v>
      </c>
      <c r="I12" s="1135"/>
    </row>
    <row r="13" spans="1:11" ht="23.25" x14ac:dyDescent="0.25">
      <c r="A13" s="1167" t="s">
        <v>178</v>
      </c>
      <c r="B13" s="1174" t="s">
        <v>176</v>
      </c>
      <c r="C13" s="1175" t="s">
        <v>177</v>
      </c>
      <c r="D13" s="598" t="s">
        <v>180</v>
      </c>
      <c r="E13" s="1125">
        <v>106</v>
      </c>
      <c r="F13" s="934">
        <v>77</v>
      </c>
      <c r="G13" s="933">
        <v>3210</v>
      </c>
      <c r="H13" s="934">
        <v>2663</v>
      </c>
      <c r="I13" s="1135"/>
    </row>
    <row r="14" spans="1:11" ht="23.25" x14ac:dyDescent="0.25">
      <c r="A14" s="1167" t="s">
        <v>181</v>
      </c>
      <c r="B14" s="1174" t="s">
        <v>818</v>
      </c>
      <c r="C14" s="1175" t="s">
        <v>177</v>
      </c>
      <c r="D14" s="598" t="s">
        <v>183</v>
      </c>
      <c r="E14" s="1125">
        <v>338</v>
      </c>
      <c r="F14" s="934">
        <v>512</v>
      </c>
      <c r="G14" s="933">
        <v>1200</v>
      </c>
      <c r="H14" s="934">
        <v>1127</v>
      </c>
      <c r="I14" s="1135"/>
    </row>
    <row r="15" spans="1:11" ht="23.25" hidden="1" x14ac:dyDescent="0.25">
      <c r="A15" s="1167" t="s">
        <v>184</v>
      </c>
      <c r="B15" s="1174" t="s">
        <v>182</v>
      </c>
      <c r="C15" s="1175" t="s">
        <v>177</v>
      </c>
      <c r="D15" s="598" t="s">
        <v>747</v>
      </c>
      <c r="E15" s="1125"/>
      <c r="F15" s="934"/>
      <c r="G15" s="933"/>
      <c r="H15" s="934"/>
      <c r="I15" s="1135"/>
      <c r="K15" s="510" t="s">
        <v>78</v>
      </c>
    </row>
    <row r="16" spans="1:11" ht="23.25" x14ac:dyDescent="0.25">
      <c r="A16" s="1167" t="s">
        <v>184</v>
      </c>
      <c r="B16" s="1174" t="s">
        <v>179</v>
      </c>
      <c r="C16" s="1175" t="s">
        <v>177</v>
      </c>
      <c r="D16" s="598" t="s">
        <v>747</v>
      </c>
      <c r="E16" s="1125"/>
      <c r="F16" s="934"/>
      <c r="G16" s="933">
        <v>0</v>
      </c>
      <c r="H16" s="934">
        <v>0</v>
      </c>
      <c r="I16" s="1135"/>
    </row>
    <row r="17" spans="1:10" ht="39.75" customHeight="1" x14ac:dyDescent="0.25">
      <c r="A17" s="1167" t="s">
        <v>186</v>
      </c>
      <c r="B17" s="1174" t="s">
        <v>182</v>
      </c>
      <c r="C17" s="1175" t="s">
        <v>177</v>
      </c>
      <c r="D17" s="598" t="s">
        <v>735</v>
      </c>
      <c r="E17" s="1125">
        <f>231+151</f>
        <v>382</v>
      </c>
      <c r="F17" s="1244">
        <v>287</v>
      </c>
      <c r="G17" s="933">
        <v>2388</v>
      </c>
      <c r="H17" s="1244">
        <f>1659+938+93-779</f>
        <v>1911</v>
      </c>
      <c r="I17" s="1135"/>
      <c r="J17" s="53"/>
    </row>
    <row r="18" spans="1:10" ht="24" thickBot="1" x14ac:dyDescent="0.3">
      <c r="A18" s="1168"/>
      <c r="B18" s="1174" t="s">
        <v>185</v>
      </c>
      <c r="C18" s="1175" t="s">
        <v>887</v>
      </c>
      <c r="D18" s="598" t="s">
        <v>888</v>
      </c>
      <c r="E18" s="1125">
        <v>216</v>
      </c>
      <c r="F18" s="934">
        <v>164</v>
      </c>
      <c r="G18" s="933"/>
      <c r="H18" s="934"/>
      <c r="I18" s="1135"/>
      <c r="J18" s="53"/>
    </row>
    <row r="19" spans="1:10" ht="23.25" thickBot="1" x14ac:dyDescent="0.3">
      <c r="A19" s="1169" t="s">
        <v>188</v>
      </c>
      <c r="B19" s="1176" t="s">
        <v>187</v>
      </c>
      <c r="C19" s="1177" t="s">
        <v>188</v>
      </c>
      <c r="D19" s="139" t="s">
        <v>190</v>
      </c>
      <c r="E19" s="1126">
        <f>SUM(E8:E18)</f>
        <v>1559</v>
      </c>
      <c r="F19" s="1120">
        <f>SUM(F8:F18)</f>
        <v>2540</v>
      </c>
      <c r="G19" s="1119">
        <f>SUM(G8:G17)</f>
        <v>6868</v>
      </c>
      <c r="H19" s="1120">
        <f>SUM(H8:H17)</f>
        <v>5844</v>
      </c>
      <c r="I19" s="1136"/>
    </row>
    <row r="20" spans="1:10" ht="37.5" customHeight="1" x14ac:dyDescent="0.25">
      <c r="A20" s="1170" t="s">
        <v>721</v>
      </c>
      <c r="B20" s="1174" t="s">
        <v>189</v>
      </c>
      <c r="C20" s="1175" t="s">
        <v>192</v>
      </c>
      <c r="D20" s="598" t="s">
        <v>768</v>
      </c>
      <c r="E20" s="1127">
        <v>455</v>
      </c>
      <c r="F20" s="935">
        <v>464</v>
      </c>
      <c r="G20" s="656">
        <v>1126</v>
      </c>
      <c r="H20" s="935">
        <v>882</v>
      </c>
      <c r="I20" s="1137"/>
    </row>
    <row r="21" spans="1:10" ht="41.25" customHeight="1" x14ac:dyDescent="0.25">
      <c r="A21" s="1166" t="s">
        <v>193</v>
      </c>
      <c r="B21" s="1174" t="s">
        <v>191</v>
      </c>
      <c r="C21" s="1175" t="s">
        <v>192</v>
      </c>
      <c r="D21" s="598" t="s">
        <v>746</v>
      </c>
      <c r="E21" s="1127">
        <v>850</v>
      </c>
      <c r="F21" s="935">
        <v>993</v>
      </c>
      <c r="G21" s="656">
        <v>8179</v>
      </c>
      <c r="H21" s="935">
        <v>7916</v>
      </c>
      <c r="I21" s="1137"/>
    </row>
    <row r="22" spans="1:10" ht="23.25" x14ac:dyDescent="0.25">
      <c r="A22" s="1166" t="s">
        <v>195</v>
      </c>
      <c r="B22" s="1174" t="s">
        <v>194</v>
      </c>
      <c r="C22" s="1175" t="s">
        <v>939</v>
      </c>
      <c r="D22" s="598" t="s">
        <v>145</v>
      </c>
      <c r="E22" s="1127">
        <v>631</v>
      </c>
      <c r="F22" s="935">
        <f>409+31</f>
        <v>440</v>
      </c>
      <c r="G22" s="656">
        <v>1150</v>
      </c>
      <c r="H22" s="935">
        <f>691+236</f>
        <v>927</v>
      </c>
      <c r="I22" s="1137"/>
    </row>
    <row r="23" spans="1:10" ht="24" thickBot="1" x14ac:dyDescent="0.3">
      <c r="A23" s="1171"/>
      <c r="B23" s="1174" t="s">
        <v>196</v>
      </c>
      <c r="C23" s="1175" t="s">
        <v>197</v>
      </c>
      <c r="D23" s="598" t="s">
        <v>815</v>
      </c>
      <c r="E23" s="1127"/>
      <c r="F23" s="935"/>
      <c r="G23" s="656">
        <v>1</v>
      </c>
      <c r="H23" s="935">
        <v>1</v>
      </c>
      <c r="I23" s="1137"/>
    </row>
    <row r="24" spans="1:10" ht="23.25" thickBot="1" x14ac:dyDescent="0.3">
      <c r="A24" s="1169" t="s">
        <v>198</v>
      </c>
      <c r="B24" s="1176" t="s">
        <v>199</v>
      </c>
      <c r="C24" s="1177" t="s">
        <v>198</v>
      </c>
      <c r="D24" s="139" t="s">
        <v>200</v>
      </c>
      <c r="E24" s="1126">
        <f>SUM(E20:E23)</f>
        <v>1936</v>
      </c>
      <c r="F24" s="1120">
        <f>SUM(F20:F23)</f>
        <v>1897</v>
      </c>
      <c r="G24" s="1119">
        <f>SUM(G20:G23)</f>
        <v>10456</v>
      </c>
      <c r="H24" s="1120">
        <f>SUM(H20:H23)</f>
        <v>9726</v>
      </c>
      <c r="I24" s="1136"/>
    </row>
    <row r="25" spans="1:10" ht="23.25" x14ac:dyDescent="0.25">
      <c r="A25" s="1166" t="s">
        <v>201</v>
      </c>
      <c r="B25" s="1178" t="s">
        <v>202</v>
      </c>
      <c r="C25" s="1179" t="s">
        <v>203</v>
      </c>
      <c r="D25" s="598" t="s">
        <v>204</v>
      </c>
      <c r="E25" s="1127"/>
      <c r="F25" s="935"/>
      <c r="G25" s="656">
        <v>2300</v>
      </c>
      <c r="H25" s="935">
        <v>2560</v>
      </c>
      <c r="I25" s="1137"/>
    </row>
    <row r="26" spans="1:10" ht="23.25" x14ac:dyDescent="0.25">
      <c r="A26" s="1166" t="s">
        <v>205</v>
      </c>
      <c r="B26" s="1178" t="s">
        <v>206</v>
      </c>
      <c r="C26" s="1179" t="s">
        <v>203</v>
      </c>
      <c r="D26" s="598" t="s">
        <v>207</v>
      </c>
      <c r="E26" s="1127"/>
      <c r="F26" s="935"/>
      <c r="G26" s="656">
        <v>2550</v>
      </c>
      <c r="H26" s="935">
        <v>5427</v>
      </c>
      <c r="I26" s="1137"/>
    </row>
    <row r="27" spans="1:10" ht="23.25" x14ac:dyDescent="0.25">
      <c r="A27" s="1166" t="s">
        <v>208</v>
      </c>
      <c r="B27" s="1178" t="s">
        <v>209</v>
      </c>
      <c r="C27" s="1179" t="s">
        <v>203</v>
      </c>
      <c r="D27" s="598" t="s">
        <v>210</v>
      </c>
      <c r="E27" s="1127"/>
      <c r="F27" s="935"/>
      <c r="G27" s="656">
        <v>500</v>
      </c>
      <c r="H27" s="935">
        <v>389</v>
      </c>
      <c r="I27" s="1137"/>
    </row>
    <row r="28" spans="1:10" ht="23.25" x14ac:dyDescent="0.25">
      <c r="A28" s="1166" t="s">
        <v>212</v>
      </c>
      <c r="B28" s="1178" t="s">
        <v>211</v>
      </c>
      <c r="C28" s="1179" t="s">
        <v>213</v>
      </c>
      <c r="D28" s="591" t="s">
        <v>886</v>
      </c>
      <c r="E28" s="1127">
        <f>502+653+100</f>
        <v>1255</v>
      </c>
      <c r="F28" s="936">
        <f>2728</f>
        <v>2728</v>
      </c>
      <c r="G28" s="656">
        <v>2621</v>
      </c>
      <c r="H28" s="935">
        <v>3698</v>
      </c>
      <c r="I28" s="1137"/>
    </row>
    <row r="29" spans="1:10" ht="23.25" x14ac:dyDescent="0.25">
      <c r="A29" s="1166" t="s">
        <v>736</v>
      </c>
      <c r="B29" s="1178" t="s">
        <v>819</v>
      </c>
      <c r="C29" s="1175" t="s">
        <v>217</v>
      </c>
      <c r="D29" s="598" t="s">
        <v>61</v>
      </c>
      <c r="E29" s="1127">
        <f>462+703</f>
        <v>1165</v>
      </c>
      <c r="F29" s="935">
        <f>870+563</f>
        <v>1433</v>
      </c>
      <c r="G29" s="656">
        <f>500+1250</f>
        <v>1750</v>
      </c>
      <c r="H29" s="935">
        <f>716+676+1</f>
        <v>1393</v>
      </c>
      <c r="I29" s="1137"/>
    </row>
    <row r="30" spans="1:10" ht="33" x14ac:dyDescent="0.25">
      <c r="A30" s="1166" t="s">
        <v>218</v>
      </c>
      <c r="B30" s="1178" t="s">
        <v>820</v>
      </c>
      <c r="C30" s="1175" t="s">
        <v>220</v>
      </c>
      <c r="D30" s="598" t="s">
        <v>1143</v>
      </c>
      <c r="E30" s="1127">
        <v>10000</v>
      </c>
      <c r="F30" s="936">
        <f>2500</f>
        <v>2500</v>
      </c>
      <c r="G30" s="656">
        <v>0</v>
      </c>
      <c r="H30" s="935"/>
      <c r="I30" s="1137"/>
    </row>
    <row r="31" spans="1:10" ht="23.25" x14ac:dyDescent="0.25">
      <c r="A31" s="1166" t="s">
        <v>221</v>
      </c>
      <c r="B31" s="1178" t="s">
        <v>214</v>
      </c>
      <c r="C31" s="1175" t="s">
        <v>740</v>
      </c>
      <c r="D31" s="598" t="s">
        <v>223</v>
      </c>
      <c r="E31" s="1127">
        <f>3012+12+47</f>
        <v>3071</v>
      </c>
      <c r="F31" s="935">
        <v>3393</v>
      </c>
      <c r="G31" s="656">
        <v>523</v>
      </c>
      <c r="H31" s="935">
        <v>440</v>
      </c>
      <c r="I31" s="1137"/>
    </row>
    <row r="32" spans="1:10" ht="23.25" x14ac:dyDescent="0.25">
      <c r="A32" s="1166" t="s">
        <v>884</v>
      </c>
      <c r="B32" s="1178" t="s">
        <v>215</v>
      </c>
      <c r="C32" s="1175" t="s">
        <v>883</v>
      </c>
      <c r="D32" s="598" t="s">
        <v>882</v>
      </c>
      <c r="E32" s="1127"/>
      <c r="F32" s="935"/>
      <c r="G32" s="656">
        <v>6</v>
      </c>
      <c r="H32" s="935">
        <v>5</v>
      </c>
      <c r="I32" s="1137"/>
    </row>
    <row r="33" spans="1:11" ht="23.25" x14ac:dyDescent="0.25">
      <c r="A33" s="1167" t="s">
        <v>224</v>
      </c>
      <c r="B33" s="1178" t="s">
        <v>216</v>
      </c>
      <c r="C33" s="1175" t="s">
        <v>738</v>
      </c>
      <c r="D33" s="107" t="s">
        <v>227</v>
      </c>
      <c r="E33" s="1127">
        <v>3700</v>
      </c>
      <c r="F33" s="935">
        <v>4096</v>
      </c>
      <c r="G33" s="656">
        <v>6000</v>
      </c>
      <c r="H33" s="935">
        <v>5120</v>
      </c>
      <c r="I33" s="1137"/>
    </row>
    <row r="34" spans="1:11" ht="33" x14ac:dyDescent="0.25">
      <c r="A34" s="1167" t="s">
        <v>224</v>
      </c>
      <c r="B34" s="1178" t="s">
        <v>87</v>
      </c>
      <c r="C34" s="1175" t="s">
        <v>739</v>
      </c>
      <c r="D34" s="107" t="s">
        <v>737</v>
      </c>
      <c r="E34" s="1127">
        <f>361+123</f>
        <v>484</v>
      </c>
      <c r="F34" s="935">
        <f>164+381+98+103</f>
        <v>746</v>
      </c>
      <c r="G34" s="656">
        <f>1254</f>
        <v>1254</v>
      </c>
      <c r="H34" s="935">
        <v>1372</v>
      </c>
      <c r="I34" s="1140"/>
      <c r="J34" s="511"/>
      <c r="K34" s="53"/>
    </row>
    <row r="35" spans="1:11" ht="33" x14ac:dyDescent="0.25">
      <c r="A35" s="1167" t="s">
        <v>224</v>
      </c>
      <c r="B35" s="1178" t="s">
        <v>219</v>
      </c>
      <c r="C35" s="1175" t="s">
        <v>739</v>
      </c>
      <c r="D35" s="107" t="s">
        <v>767</v>
      </c>
      <c r="E35" s="1127">
        <f>3299+7300-1119</f>
        <v>9480</v>
      </c>
      <c r="F35" s="935">
        <f>15395-5000-5000</f>
        <v>5395</v>
      </c>
      <c r="G35" s="656">
        <v>8064</v>
      </c>
      <c r="H35" s="935">
        <v>7393</v>
      </c>
      <c r="I35" s="1140"/>
    </row>
    <row r="36" spans="1:11" ht="23.25" x14ac:dyDescent="0.25">
      <c r="A36" s="1167"/>
      <c r="B36" s="1178" t="s">
        <v>88</v>
      </c>
      <c r="C36" s="1175" t="s">
        <v>739</v>
      </c>
      <c r="D36" s="107" t="s">
        <v>1048</v>
      </c>
      <c r="E36" s="1127"/>
      <c r="F36" s="935">
        <v>5000</v>
      </c>
      <c r="G36" s="656"/>
      <c r="H36" s="935"/>
      <c r="I36" s="1140"/>
    </row>
    <row r="37" spans="1:11" ht="33" x14ac:dyDescent="0.25">
      <c r="A37" s="1167"/>
      <c r="B37" s="1178" t="s">
        <v>222</v>
      </c>
      <c r="C37" s="1175" t="s">
        <v>739</v>
      </c>
      <c r="D37" s="107" t="s">
        <v>1049</v>
      </c>
      <c r="E37" s="1127"/>
      <c r="F37" s="935">
        <v>5000</v>
      </c>
      <c r="G37" s="656"/>
      <c r="H37" s="935"/>
      <c r="I37" s="1140"/>
    </row>
    <row r="38" spans="1:11" ht="23.25" x14ac:dyDescent="0.25">
      <c r="A38" s="1167" t="s">
        <v>224</v>
      </c>
      <c r="B38" s="1178" t="s">
        <v>225</v>
      </c>
      <c r="C38" s="1175" t="s">
        <v>739</v>
      </c>
      <c r="D38" s="107" t="s">
        <v>146</v>
      </c>
      <c r="E38" s="1127">
        <v>4590</v>
      </c>
      <c r="F38" s="935">
        <v>4682</v>
      </c>
      <c r="G38" s="656"/>
      <c r="H38" s="935"/>
      <c r="I38" s="1140"/>
    </row>
    <row r="39" spans="1:11" ht="24" thickBot="1" x14ac:dyDescent="0.3">
      <c r="A39" s="1167" t="s">
        <v>224</v>
      </c>
      <c r="B39" s="1178" t="s">
        <v>226</v>
      </c>
      <c r="C39" s="1175" t="s">
        <v>739</v>
      </c>
      <c r="D39" s="107" t="s">
        <v>231</v>
      </c>
      <c r="E39" s="1127">
        <v>0</v>
      </c>
      <c r="F39" s="935">
        <v>0</v>
      </c>
      <c r="G39" s="656">
        <v>286</v>
      </c>
      <c r="H39" s="935">
        <v>439</v>
      </c>
      <c r="I39" s="1137"/>
    </row>
    <row r="40" spans="1:11" ht="23.25" thickBot="1" x14ac:dyDescent="0.3">
      <c r="A40" s="1169" t="s">
        <v>232</v>
      </c>
      <c r="B40" s="1176" t="s">
        <v>228</v>
      </c>
      <c r="C40" s="1177" t="s">
        <v>232</v>
      </c>
      <c r="D40" s="139" t="s">
        <v>234</v>
      </c>
      <c r="E40" s="1126">
        <f t="shared" ref="E40:G40" si="0">SUM(E25:E39)</f>
        <v>33745</v>
      </c>
      <c r="F40" s="1120">
        <f>SUM(F25:F39)</f>
        <v>34973</v>
      </c>
      <c r="G40" s="1119">
        <f t="shared" si="0"/>
        <v>25854</v>
      </c>
      <c r="H40" s="1120">
        <f>SUM(H25:H39)</f>
        <v>28236</v>
      </c>
      <c r="I40" s="1136"/>
    </row>
    <row r="41" spans="1:11" ht="23.25" x14ac:dyDescent="0.25">
      <c r="A41" s="1166" t="s">
        <v>235</v>
      </c>
      <c r="B41" s="1174" t="s">
        <v>229</v>
      </c>
      <c r="C41" s="1175" t="s">
        <v>237</v>
      </c>
      <c r="D41" s="591" t="s">
        <v>796</v>
      </c>
      <c r="E41" s="1127"/>
      <c r="F41" s="935"/>
      <c r="G41" s="656">
        <v>100</v>
      </c>
      <c r="H41" s="935">
        <v>138</v>
      </c>
      <c r="I41" s="1137"/>
    </row>
    <row r="42" spans="1:11" ht="23.25" x14ac:dyDescent="0.25">
      <c r="A42" s="1166" t="s">
        <v>238</v>
      </c>
      <c r="B42" s="1174" t="s">
        <v>230</v>
      </c>
      <c r="C42" s="1175" t="s">
        <v>237</v>
      </c>
      <c r="D42" s="591" t="s">
        <v>797</v>
      </c>
      <c r="E42" s="1127"/>
      <c r="F42" s="935"/>
      <c r="G42" s="656">
        <v>0</v>
      </c>
      <c r="H42" s="935">
        <v>0</v>
      </c>
      <c r="I42" s="1137"/>
    </row>
    <row r="43" spans="1:11" ht="33.75" thickBot="1" x14ac:dyDescent="0.3">
      <c r="A43" s="1166" t="s">
        <v>240</v>
      </c>
      <c r="B43" s="1174" t="s">
        <v>233</v>
      </c>
      <c r="C43" s="1175" t="s">
        <v>242</v>
      </c>
      <c r="D43" s="591" t="s">
        <v>741</v>
      </c>
      <c r="E43" s="1127">
        <v>4819</v>
      </c>
      <c r="F43" s="935">
        <v>5483</v>
      </c>
      <c r="G43" s="656"/>
      <c r="H43" s="935"/>
      <c r="I43" s="1137"/>
    </row>
    <row r="44" spans="1:11" ht="23.25" thickBot="1" x14ac:dyDescent="0.3">
      <c r="A44" s="1169" t="s">
        <v>243</v>
      </c>
      <c r="B44" s="1176" t="s">
        <v>236</v>
      </c>
      <c r="C44" s="1177" t="s">
        <v>243</v>
      </c>
      <c r="D44" s="139" t="s">
        <v>245</v>
      </c>
      <c r="E44" s="1126">
        <f>SUM(E41:E43)</f>
        <v>4819</v>
      </c>
      <c r="F44" s="1120">
        <f>SUM(F41:F43)</f>
        <v>5483</v>
      </c>
      <c r="G44" s="1119">
        <f>SUM(G41:G43)</f>
        <v>100</v>
      </c>
      <c r="H44" s="1120">
        <f>SUM(H41:H43)</f>
        <v>138</v>
      </c>
      <c r="I44" s="1136"/>
    </row>
    <row r="45" spans="1:11" ht="23.25" x14ac:dyDescent="0.25">
      <c r="A45" s="1166" t="s">
        <v>246</v>
      </c>
      <c r="B45" s="1174" t="s">
        <v>239</v>
      </c>
      <c r="C45" s="1175" t="s">
        <v>248</v>
      </c>
      <c r="D45" s="107" t="s">
        <v>799</v>
      </c>
      <c r="E45" s="1128">
        <f>400</f>
        <v>400</v>
      </c>
      <c r="F45" s="936">
        <f>305+8606</f>
        <v>8911</v>
      </c>
      <c r="G45" s="657"/>
      <c r="H45" s="936">
        <v>296</v>
      </c>
      <c r="I45" s="1138"/>
    </row>
    <row r="46" spans="1:11" ht="23.25" x14ac:dyDescent="0.25">
      <c r="A46" s="1166" t="s">
        <v>89</v>
      </c>
      <c r="B46" s="1174" t="s">
        <v>241</v>
      </c>
      <c r="C46" s="1175" t="s">
        <v>248</v>
      </c>
      <c r="D46" s="107" t="s">
        <v>85</v>
      </c>
      <c r="E46" s="1128"/>
      <c r="F46" s="936"/>
      <c r="G46" s="657"/>
      <c r="H46" s="936"/>
      <c r="I46" s="1138"/>
    </row>
    <row r="47" spans="1:11" ht="23.25" x14ac:dyDescent="0.25">
      <c r="A47" s="1166" t="s">
        <v>249</v>
      </c>
      <c r="B47" s="1174" t="s">
        <v>244</v>
      </c>
      <c r="C47" s="1175" t="s">
        <v>248</v>
      </c>
      <c r="D47" s="107" t="s">
        <v>250</v>
      </c>
      <c r="E47" s="1128">
        <v>254</v>
      </c>
      <c r="F47" s="936">
        <v>223</v>
      </c>
      <c r="G47" s="657"/>
      <c r="H47" s="936"/>
      <c r="I47" s="1138"/>
    </row>
    <row r="48" spans="1:11" ht="23.25" x14ac:dyDescent="0.25">
      <c r="A48" s="1166"/>
      <c r="B48" s="1174" t="s">
        <v>247</v>
      </c>
      <c r="C48" s="1175" t="s">
        <v>248</v>
      </c>
      <c r="D48" s="107" t="s">
        <v>940</v>
      </c>
      <c r="E48" s="1128"/>
      <c r="F48" s="936">
        <v>100</v>
      </c>
      <c r="G48" s="657"/>
      <c r="H48" s="936"/>
      <c r="I48" s="1138"/>
    </row>
    <row r="49" spans="1:9" ht="23.25" x14ac:dyDescent="0.25">
      <c r="A49" s="1166" t="s">
        <v>251</v>
      </c>
      <c r="B49" s="1174" t="s">
        <v>829</v>
      </c>
      <c r="C49" s="1175" t="s">
        <v>248</v>
      </c>
      <c r="D49" s="107" t="s">
        <v>252</v>
      </c>
      <c r="E49" s="1128">
        <v>202</v>
      </c>
      <c r="F49" s="936">
        <v>205</v>
      </c>
      <c r="G49" s="657"/>
      <c r="H49" s="936"/>
      <c r="I49" s="1138"/>
    </row>
    <row r="50" spans="1:9" ht="23.25" x14ac:dyDescent="0.25">
      <c r="A50" s="1166" t="s">
        <v>823</v>
      </c>
      <c r="B50" s="1174" t="s">
        <v>830</v>
      </c>
      <c r="C50" s="1175" t="s">
        <v>822</v>
      </c>
      <c r="D50" s="107" t="s">
        <v>821</v>
      </c>
      <c r="E50" s="1128"/>
      <c r="F50" s="936"/>
      <c r="G50" s="657"/>
      <c r="H50" s="936"/>
      <c r="I50" s="1138"/>
    </row>
    <row r="51" spans="1:9" ht="23.25" x14ac:dyDescent="0.25">
      <c r="A51" s="1166" t="s">
        <v>834</v>
      </c>
      <c r="B51" s="1174" t="s">
        <v>831</v>
      </c>
      <c r="C51" s="1175" t="s">
        <v>822</v>
      </c>
      <c r="D51" s="107" t="s">
        <v>836</v>
      </c>
      <c r="E51" s="1128"/>
      <c r="F51" s="936"/>
      <c r="G51" s="657">
        <v>5</v>
      </c>
      <c r="H51" s="936">
        <v>5</v>
      </c>
      <c r="I51" s="1138"/>
    </row>
    <row r="52" spans="1:9" s="592" customFormat="1" ht="33" x14ac:dyDescent="0.2">
      <c r="A52" s="1166" t="s">
        <v>253</v>
      </c>
      <c r="B52" s="1174" t="s">
        <v>835</v>
      </c>
      <c r="C52" s="1175" t="s">
        <v>254</v>
      </c>
      <c r="D52" s="591" t="s">
        <v>779</v>
      </c>
      <c r="E52" s="1128">
        <f>9495+20</f>
        <v>9515</v>
      </c>
      <c r="F52" s="936">
        <v>9364</v>
      </c>
      <c r="G52" s="657">
        <v>343</v>
      </c>
      <c r="H52" s="936">
        <v>717</v>
      </c>
      <c r="I52" s="1138"/>
    </row>
    <row r="53" spans="1:9" s="592" customFormat="1" ht="23.25" x14ac:dyDescent="0.2">
      <c r="A53" s="1166"/>
      <c r="B53" s="1174" t="s">
        <v>851</v>
      </c>
      <c r="C53" s="1175" t="s">
        <v>254</v>
      </c>
      <c r="D53" s="591" t="s">
        <v>833</v>
      </c>
      <c r="E53" s="1128"/>
      <c r="F53" s="936"/>
      <c r="G53" s="657"/>
      <c r="H53" s="936"/>
      <c r="I53" s="1138"/>
    </row>
    <row r="54" spans="1:9" s="592" customFormat="1" ht="23.25" x14ac:dyDescent="0.2">
      <c r="A54" s="1166"/>
      <c r="B54" s="1174" t="s">
        <v>932</v>
      </c>
      <c r="C54" s="1175" t="s">
        <v>254</v>
      </c>
      <c r="D54" s="591" t="s">
        <v>828</v>
      </c>
      <c r="E54" s="1128"/>
      <c r="F54" s="936">
        <f>946</f>
        <v>946</v>
      </c>
      <c r="G54" s="657"/>
      <c r="H54" s="936"/>
      <c r="I54" s="1138"/>
    </row>
    <row r="55" spans="1:9" ht="24" thickBot="1" x14ac:dyDescent="0.3">
      <c r="A55" s="1166" t="s">
        <v>255</v>
      </c>
      <c r="B55" s="1174" t="s">
        <v>945</v>
      </c>
      <c r="C55" s="1175" t="s">
        <v>254</v>
      </c>
      <c r="D55" s="598" t="s">
        <v>256</v>
      </c>
      <c r="E55" s="1128">
        <v>50</v>
      </c>
      <c r="F55" s="936">
        <v>25</v>
      </c>
      <c r="G55" s="657">
        <v>2700</v>
      </c>
      <c r="H55" s="936">
        <v>2050</v>
      </c>
      <c r="I55" s="1138"/>
    </row>
    <row r="56" spans="1:9" ht="23.25" thickBot="1" x14ac:dyDescent="0.3">
      <c r="A56" s="1169" t="s">
        <v>257</v>
      </c>
      <c r="B56" s="1176" t="s">
        <v>1096</v>
      </c>
      <c r="C56" s="1177" t="s">
        <v>257</v>
      </c>
      <c r="D56" s="139" t="s">
        <v>258</v>
      </c>
      <c r="E56" s="1126">
        <f>SUM(E45:E55)</f>
        <v>10421</v>
      </c>
      <c r="F56" s="1120">
        <f>SUM(F45:F55)</f>
        <v>19774</v>
      </c>
      <c r="G56" s="1119">
        <f>SUM(G45:G55)</f>
        <v>3048</v>
      </c>
      <c r="H56" s="1120">
        <f>SUM(H45:H55)</f>
        <v>3068</v>
      </c>
      <c r="I56" s="1136"/>
    </row>
    <row r="57" spans="1:9" ht="23.25" thickBot="1" x14ac:dyDescent="0.3">
      <c r="A57" s="1172" t="s">
        <v>298</v>
      </c>
      <c r="B57" s="1180" t="s">
        <v>1097</v>
      </c>
      <c r="C57" s="1181" t="s">
        <v>298</v>
      </c>
      <c r="D57" s="1121" t="s">
        <v>299</v>
      </c>
      <c r="E57" s="1129">
        <f>E56+E44+E40+E24+E19</f>
        <v>52480</v>
      </c>
      <c r="F57" s="1123">
        <f>F56+F44+F40+F24+F19</f>
        <v>64667</v>
      </c>
      <c r="G57" s="1122">
        <f>G56+G44+G40+G24+G19</f>
        <v>46326</v>
      </c>
      <c r="H57" s="1123">
        <f>H56+H44+H40+H24+H19</f>
        <v>47012</v>
      </c>
      <c r="I57" s="1139"/>
    </row>
    <row r="58" spans="1:9" x14ac:dyDescent="0.25">
      <c r="E58" s="599"/>
      <c r="F58" s="599"/>
    </row>
    <row r="59" spans="1:9" x14ac:dyDescent="0.25">
      <c r="E59" s="599"/>
      <c r="F59" s="599"/>
    </row>
  </sheetData>
  <mergeCells count="3">
    <mergeCell ref="A1:H1"/>
    <mergeCell ref="A2:H2"/>
    <mergeCell ref="A3:H3"/>
  </mergeCells>
  <printOptions horizontalCentered="1"/>
  <pageMargins left="0" right="0" top="7.874015748031496E-2" bottom="7.874015748031496E-2" header="0.51181102362204722" footer="0.51181102362204722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3" tint="-0.249977111117893"/>
    <pageSetUpPr fitToPage="1"/>
  </sheetPr>
  <dimension ref="A1:G31"/>
  <sheetViews>
    <sheetView view="pageBreakPreview" zoomScale="90" zoomScaleSheetLayoutView="90" workbookViewId="0">
      <selection sqref="A1:G1"/>
    </sheetView>
  </sheetViews>
  <sheetFormatPr defaultRowHeight="15" x14ac:dyDescent="0.25"/>
  <cols>
    <col min="1" max="1" width="9.140625" style="53"/>
    <col min="2" max="2" width="12" style="52" customWidth="1"/>
    <col min="3" max="3" width="117.140625" style="52" customWidth="1"/>
    <col min="4" max="5" width="17.28515625" style="794" customWidth="1"/>
    <col min="6" max="7" width="16.7109375" style="794" customWidth="1"/>
    <col min="8" max="16384" width="9.140625" style="52"/>
  </cols>
  <sheetData>
    <row r="1" spans="1:7" ht="18.75" x14ac:dyDescent="0.3">
      <c r="A1" s="1837" t="str">
        <f>Tartalomjegyzék_2018!A1</f>
        <v>Pilisvörösvár Város Önkormányzata Képviselő-testületének 2/2018. (II. 9.) önkormányzati rendelete</v>
      </c>
      <c r="B1" s="1837"/>
      <c r="C1" s="1837"/>
      <c r="D1" s="1837"/>
      <c r="E1" s="1837"/>
      <c r="F1" s="1895"/>
      <c r="G1" s="1895"/>
    </row>
    <row r="2" spans="1:7" ht="18.75" x14ac:dyDescent="0.3">
      <c r="A2" s="1837" t="str">
        <f>'19. Dologi kiad.igazg. (K3)'!A2:F2</f>
        <v>az Önkormányzat  2018. évi költségvetéséről</v>
      </c>
      <c r="B2" s="1837"/>
      <c r="C2" s="1837"/>
      <c r="D2" s="1837"/>
      <c r="E2" s="1837"/>
      <c r="F2" s="1895"/>
      <c r="G2" s="1895"/>
    </row>
    <row r="3" spans="1:7" ht="18.75" x14ac:dyDescent="0.3">
      <c r="A3" s="1837" t="str">
        <f>Tartalomjegyzék_2018!B27</f>
        <v>Pilisvörösvár Város Önkormányzata ellátottak pénzbeli juttatásai, szociális és gyermekjóléti pénzbeli és természetbeni juttatások előirányzata</v>
      </c>
      <c r="B3" s="1837"/>
      <c r="C3" s="1837"/>
      <c r="D3" s="1837"/>
      <c r="E3" s="1837"/>
      <c r="F3" s="1895"/>
      <c r="G3" s="1895"/>
    </row>
    <row r="4" spans="1:7" ht="18.75" x14ac:dyDescent="0.3">
      <c r="A4" s="709"/>
      <c r="B4" s="709"/>
      <c r="C4" s="709"/>
      <c r="D4" s="792"/>
      <c r="E4" s="792"/>
      <c r="G4" s="946" t="s">
        <v>1039</v>
      </c>
    </row>
    <row r="5" spans="1:7" ht="18.75" x14ac:dyDescent="0.25">
      <c r="A5" s="3"/>
      <c r="B5" s="176"/>
      <c r="C5" s="176"/>
      <c r="D5" s="793"/>
      <c r="E5" s="793"/>
      <c r="G5" s="317"/>
    </row>
    <row r="6" spans="1:7" ht="21" thickBot="1" x14ac:dyDescent="0.35">
      <c r="G6" s="947" t="s">
        <v>329</v>
      </c>
    </row>
    <row r="7" spans="1:7" s="55" customFormat="1" ht="88.5" customHeight="1" thickBot="1" x14ac:dyDescent="0.25">
      <c r="A7" s="177" t="s">
        <v>59</v>
      </c>
      <c r="B7" s="937" t="s">
        <v>166</v>
      </c>
      <c r="C7" s="937" t="s">
        <v>261</v>
      </c>
      <c r="D7" s="938" t="str">
        <f>'19. Dologi kiad.igazg. (K3)'!E7</f>
        <v>Önkormányzat 2017. évi eredeti előirányzat</v>
      </c>
      <c r="E7" s="938" t="str">
        <f>'19. Dologi kiad.igazg. (K3)'!F7</f>
        <v>Önkormányzat 2018. évi eredeti előirányzat</v>
      </c>
      <c r="F7" s="938" t="str">
        <f>'19. Dologi kiad.igazg. (K3)'!G7</f>
        <v>Polgármesteri Hivatal 2017. évi eredeti előirányzat</v>
      </c>
      <c r="G7" s="1203" t="str">
        <f>'19. Dologi kiad.igazg. (K3)'!H7</f>
        <v>Polgármesteri Hivatal 2018. évi eredeti előirányzat</v>
      </c>
    </row>
    <row r="8" spans="1:7" ht="18.75" customHeight="1" thickBot="1" x14ac:dyDescent="0.35">
      <c r="A8" s="1017">
        <v>1</v>
      </c>
      <c r="B8" s="939" t="s">
        <v>262</v>
      </c>
      <c r="C8" s="337" t="s">
        <v>263</v>
      </c>
      <c r="D8" s="658">
        <v>0</v>
      </c>
      <c r="E8" s="658">
        <v>0</v>
      </c>
      <c r="F8" s="658">
        <v>0</v>
      </c>
      <c r="G8" s="1204">
        <v>0</v>
      </c>
    </row>
    <row r="9" spans="1:7" ht="18.75" customHeight="1" x14ac:dyDescent="0.3">
      <c r="A9" s="1018">
        <v>2</v>
      </c>
      <c r="B9" s="940" t="s">
        <v>264</v>
      </c>
      <c r="C9" s="941" t="s">
        <v>265</v>
      </c>
      <c r="D9" s="659">
        <v>0</v>
      </c>
      <c r="E9" s="659"/>
      <c r="F9" s="659">
        <v>3500</v>
      </c>
      <c r="G9" s="1205">
        <v>3500</v>
      </c>
    </row>
    <row r="10" spans="1:7" ht="18.75" customHeight="1" thickBot="1" x14ac:dyDescent="0.35">
      <c r="A10" s="1019">
        <v>3</v>
      </c>
      <c r="B10" s="942" t="s">
        <v>264</v>
      </c>
      <c r="C10" s="943" t="s">
        <v>266</v>
      </c>
      <c r="D10" s="659">
        <v>0</v>
      </c>
      <c r="E10" s="659"/>
      <c r="F10" s="659">
        <v>300</v>
      </c>
      <c r="G10" s="1205">
        <v>700</v>
      </c>
    </row>
    <row r="11" spans="1:7" s="56" customFormat="1" ht="18.75" customHeight="1" thickBot="1" x14ac:dyDescent="0.35">
      <c r="A11" s="1017">
        <v>5</v>
      </c>
      <c r="B11" s="939" t="s">
        <v>264</v>
      </c>
      <c r="C11" s="337" t="s">
        <v>268</v>
      </c>
      <c r="D11" s="658">
        <f>SUM(D9:D10)</f>
        <v>0</v>
      </c>
      <c r="E11" s="658">
        <f>SUM(E9:E10)</f>
        <v>0</v>
      </c>
      <c r="F11" s="658">
        <f>SUM(F9:F10)</f>
        <v>3800</v>
      </c>
      <c r="G11" s="1204">
        <f>SUM(G9:G10)</f>
        <v>4200</v>
      </c>
    </row>
    <row r="12" spans="1:7" s="56" customFormat="1" ht="18.75" customHeight="1" thickBot="1" x14ac:dyDescent="0.35">
      <c r="A12" s="1017">
        <v>6</v>
      </c>
      <c r="B12" s="939" t="s">
        <v>269</v>
      </c>
      <c r="C12" s="337" t="s">
        <v>270</v>
      </c>
      <c r="D12" s="658">
        <v>0</v>
      </c>
      <c r="E12" s="658">
        <f t="shared" ref="E12:E15" si="0">D12</f>
        <v>0</v>
      </c>
      <c r="F12" s="658"/>
      <c r="G12" s="1204">
        <f t="shared" ref="G12:G15" si="1">F12</f>
        <v>0</v>
      </c>
    </row>
    <row r="13" spans="1:7" s="56" customFormat="1" ht="18.75" customHeight="1" thickBot="1" x14ac:dyDescent="0.35">
      <c r="A13" s="1017">
        <v>7</v>
      </c>
      <c r="B13" s="939" t="s">
        <v>271</v>
      </c>
      <c r="C13" s="337" t="s">
        <v>722</v>
      </c>
      <c r="D13" s="658">
        <v>0</v>
      </c>
      <c r="E13" s="658">
        <f t="shared" si="0"/>
        <v>0</v>
      </c>
      <c r="F13" s="658">
        <v>0</v>
      </c>
      <c r="G13" s="1204">
        <f t="shared" si="1"/>
        <v>0</v>
      </c>
    </row>
    <row r="14" spans="1:7" s="56" customFormat="1" ht="18.75" customHeight="1" thickBot="1" x14ac:dyDescent="0.35">
      <c r="A14" s="1017">
        <v>8</v>
      </c>
      <c r="B14" s="939" t="s">
        <v>272</v>
      </c>
      <c r="C14" s="337" t="s">
        <v>723</v>
      </c>
      <c r="D14" s="658">
        <f>216-216</f>
        <v>0</v>
      </c>
      <c r="E14" s="658">
        <f t="shared" si="0"/>
        <v>0</v>
      </c>
      <c r="F14" s="658">
        <v>0</v>
      </c>
      <c r="G14" s="1204">
        <f t="shared" si="1"/>
        <v>0</v>
      </c>
    </row>
    <row r="15" spans="1:7" s="56" customFormat="1" ht="18.75" customHeight="1" thickBot="1" x14ac:dyDescent="0.35">
      <c r="A15" s="1017">
        <v>9</v>
      </c>
      <c r="B15" s="939" t="s">
        <v>273</v>
      </c>
      <c r="C15" s="337" t="s">
        <v>274</v>
      </c>
      <c r="D15" s="658">
        <v>0</v>
      </c>
      <c r="E15" s="658">
        <f t="shared" si="0"/>
        <v>0</v>
      </c>
      <c r="F15" s="658">
        <v>0</v>
      </c>
      <c r="G15" s="1204">
        <f t="shared" si="1"/>
        <v>0</v>
      </c>
    </row>
    <row r="16" spans="1:7" ht="18.75" customHeight="1" x14ac:dyDescent="0.3">
      <c r="A16" s="1019">
        <v>10</v>
      </c>
      <c r="B16" s="942" t="s">
        <v>275</v>
      </c>
      <c r="C16" s="943" t="s">
        <v>126</v>
      </c>
      <c r="D16" s="660">
        <v>350</v>
      </c>
      <c r="E16" s="1162">
        <v>350</v>
      </c>
      <c r="F16" s="660">
        <v>0</v>
      </c>
      <c r="G16" s="1206"/>
    </row>
    <row r="17" spans="1:7" ht="18.75" customHeight="1" x14ac:dyDescent="0.3">
      <c r="A17" s="1019">
        <v>11</v>
      </c>
      <c r="B17" s="942" t="s">
        <v>275</v>
      </c>
      <c r="C17" s="943" t="s">
        <v>276</v>
      </c>
      <c r="D17" s="660">
        <v>1500</v>
      </c>
      <c r="E17" s="1162">
        <v>1500</v>
      </c>
      <c r="F17" s="660">
        <v>0</v>
      </c>
      <c r="G17" s="1206"/>
    </row>
    <row r="18" spans="1:7" ht="18.75" customHeight="1" x14ac:dyDescent="0.3">
      <c r="A18" s="1019">
        <v>12</v>
      </c>
      <c r="B18" s="942" t="s">
        <v>275</v>
      </c>
      <c r="C18" s="943" t="s">
        <v>127</v>
      </c>
      <c r="D18" s="660">
        <v>4500</v>
      </c>
      <c r="E18" s="1162">
        <f>3500-216</f>
        <v>3284</v>
      </c>
      <c r="F18" s="660">
        <v>0</v>
      </c>
      <c r="G18" s="1206"/>
    </row>
    <row r="19" spans="1:7" ht="43.5" customHeight="1" x14ac:dyDescent="0.3">
      <c r="A19" s="1019">
        <v>13</v>
      </c>
      <c r="B19" s="942" t="s">
        <v>275</v>
      </c>
      <c r="C19" s="943" t="s">
        <v>128</v>
      </c>
      <c r="D19" s="660">
        <v>500</v>
      </c>
      <c r="E19" s="1162">
        <v>500</v>
      </c>
      <c r="F19" s="660">
        <v>0</v>
      </c>
      <c r="G19" s="1206"/>
    </row>
    <row r="20" spans="1:7" ht="18.75" customHeight="1" x14ac:dyDescent="0.3">
      <c r="A20" s="1019">
        <v>14</v>
      </c>
      <c r="B20" s="942" t="s">
        <v>275</v>
      </c>
      <c r="C20" s="943" t="s">
        <v>724</v>
      </c>
      <c r="D20" s="660">
        <v>1000</v>
      </c>
      <c r="E20" s="1162">
        <v>1000</v>
      </c>
      <c r="F20" s="660">
        <v>0</v>
      </c>
      <c r="G20" s="1206"/>
    </row>
    <row r="21" spans="1:7" ht="18.75" customHeight="1" x14ac:dyDescent="0.3">
      <c r="A21" s="1019">
        <v>15</v>
      </c>
      <c r="B21" s="942" t="s">
        <v>275</v>
      </c>
      <c r="C21" s="944" t="s">
        <v>60</v>
      </c>
      <c r="D21" s="660">
        <v>3000</v>
      </c>
      <c r="E21" s="1162">
        <v>3000</v>
      </c>
      <c r="F21" s="660">
        <v>0</v>
      </c>
      <c r="G21" s="1206"/>
    </row>
    <row r="22" spans="1:7" ht="18.75" customHeight="1" x14ac:dyDescent="0.3">
      <c r="A22" s="1019">
        <v>16</v>
      </c>
      <c r="B22" s="942" t="s">
        <v>275</v>
      </c>
      <c r="C22" s="944" t="s">
        <v>875</v>
      </c>
      <c r="D22" s="660">
        <v>216</v>
      </c>
      <c r="E22" s="660">
        <v>216</v>
      </c>
      <c r="F22" s="660"/>
      <c r="G22" s="1206"/>
    </row>
    <row r="23" spans="1:7" ht="18.75" customHeight="1" thickBot="1" x14ac:dyDescent="0.35">
      <c r="A23" s="1019">
        <v>17</v>
      </c>
      <c r="B23" s="942" t="s">
        <v>275</v>
      </c>
      <c r="C23" s="944" t="s">
        <v>267</v>
      </c>
      <c r="D23" s="660">
        <v>4500</v>
      </c>
      <c r="E23" s="660">
        <v>5400</v>
      </c>
      <c r="F23" s="660"/>
      <c r="G23" s="1206"/>
    </row>
    <row r="24" spans="1:7" s="56" customFormat="1" ht="18.75" customHeight="1" thickBot="1" x14ac:dyDescent="0.35">
      <c r="A24" s="1017">
        <v>18</v>
      </c>
      <c r="B24" s="939" t="s">
        <v>275</v>
      </c>
      <c r="C24" s="337" t="s">
        <v>277</v>
      </c>
      <c r="D24" s="658">
        <f>SUM(D16:D23)</f>
        <v>15566</v>
      </c>
      <c r="E24" s="658">
        <f>SUM(E16:E23)</f>
        <v>15250</v>
      </c>
      <c r="F24" s="658">
        <f>SUM(F16:F23)</f>
        <v>0</v>
      </c>
      <c r="G24" s="1204">
        <f>SUM(G16:G23)</f>
        <v>0</v>
      </c>
    </row>
    <row r="25" spans="1:7" s="56" customFormat="1" ht="18.75" customHeight="1" thickBot="1" x14ac:dyDescent="0.35">
      <c r="A25" s="1020">
        <v>19</v>
      </c>
      <c r="B25" s="945" t="s">
        <v>300</v>
      </c>
      <c r="C25" s="338" t="s">
        <v>38</v>
      </c>
      <c r="D25" s="661">
        <f>D24+D15+D14+D13+D12+D11+D8</f>
        <v>15566</v>
      </c>
      <c r="E25" s="661">
        <f>E24+E15+E14+E13+E12+E11+E8</f>
        <v>15250</v>
      </c>
      <c r="F25" s="661">
        <f>F24+F15+F14+F13+F12+F11+F8</f>
        <v>3800</v>
      </c>
      <c r="G25" s="1207">
        <f>G24+G15+G14+G13+G12+G11+G8</f>
        <v>4200</v>
      </c>
    </row>
    <row r="29" spans="1:7" x14ac:dyDescent="0.25">
      <c r="E29" s="1161"/>
    </row>
    <row r="30" spans="1:7" x14ac:dyDescent="0.25">
      <c r="E30" s="1161"/>
    </row>
    <row r="31" spans="1:7" x14ac:dyDescent="0.25">
      <c r="E31" s="1161"/>
    </row>
  </sheetData>
  <mergeCells count="3">
    <mergeCell ref="A1:G1"/>
    <mergeCell ref="A2:G2"/>
    <mergeCell ref="A3:G3"/>
  </mergeCells>
  <phoneticPr fontId="57" type="noConversion"/>
  <printOptions horizontalCentered="1"/>
  <pageMargins left="0.2" right="0.2" top="0.33" bottom="0.19" header="0.51181102362204722" footer="0.51181102362204722"/>
  <pageSetup paperSize="9" scale="7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3"/>
    <pageSetUpPr fitToPage="1"/>
  </sheetPr>
  <dimension ref="A1:I42"/>
  <sheetViews>
    <sheetView view="pageBreakPreview" zoomScaleSheetLayoutView="100" workbookViewId="0">
      <selection sqref="A1:E1"/>
    </sheetView>
  </sheetViews>
  <sheetFormatPr defaultRowHeight="15" x14ac:dyDescent="0.25"/>
  <cols>
    <col min="1" max="1" width="5.42578125" style="52" customWidth="1"/>
    <col min="2" max="2" width="14.5703125" style="51" customWidth="1"/>
    <col min="3" max="3" width="121.28515625" style="52" customWidth="1"/>
    <col min="4" max="5" width="16.140625" style="52" customWidth="1"/>
    <col min="6" max="6" width="16.140625" style="53" customWidth="1"/>
    <col min="7" max="16384" width="9.140625" style="52"/>
  </cols>
  <sheetData>
    <row r="1" spans="1:7" ht="18.75" x14ac:dyDescent="0.3">
      <c r="A1" s="1837" t="str">
        <f>Tartalomjegyzék_2018!A1</f>
        <v>Pilisvörösvár Város Önkormányzata Képviselő-testületének 2/2018. (II. 9.) önkormányzati rendelete</v>
      </c>
      <c r="B1" s="1837"/>
      <c r="C1" s="1837"/>
      <c r="D1" s="1896"/>
      <c r="E1" s="1895"/>
      <c r="F1" s="1133"/>
      <c r="G1" s="175"/>
    </row>
    <row r="2" spans="1:7" ht="18.75" x14ac:dyDescent="0.3">
      <c r="A2" s="1837" t="str">
        <f>'20. Ellátottak p.jutattás (K4)'!A2:F2</f>
        <v>az Önkormányzat  2018. évi költségvetéséről</v>
      </c>
      <c r="B2" s="1837"/>
      <c r="C2" s="1837"/>
      <c r="D2" s="1896"/>
      <c r="E2" s="1895"/>
      <c r="F2" s="1133"/>
      <c r="G2" s="175"/>
    </row>
    <row r="3" spans="1:7" ht="18.75" x14ac:dyDescent="0.3">
      <c r="A3" s="1837" t="str">
        <f>Tartalomjegyzék_2018!B28</f>
        <v>Pilisvörösvár Város Önkormányzata egyéb működési és felhalmozási célú kiadásai (támogatásértékű kiadások és átadott pénzeszközök)</v>
      </c>
      <c r="B3" s="1837"/>
      <c r="C3" s="1837"/>
      <c r="D3" s="1896"/>
      <c r="E3" s="1895"/>
      <c r="F3" s="1133"/>
    </row>
    <row r="4" spans="1:7" ht="18.75" x14ac:dyDescent="0.3">
      <c r="A4" s="717"/>
      <c r="B4" s="717"/>
      <c r="C4" s="717"/>
      <c r="D4" s="716"/>
      <c r="E4" s="1074"/>
      <c r="F4" s="1133"/>
    </row>
    <row r="5" spans="1:7" ht="18.75" x14ac:dyDescent="0.3">
      <c r="A5" s="709"/>
      <c r="B5" s="709"/>
      <c r="C5" s="709"/>
      <c r="E5" s="719" t="s">
        <v>1040</v>
      </c>
      <c r="F5" s="719"/>
    </row>
    <row r="6" spans="1:7" ht="21.75" customHeight="1" x14ac:dyDescent="0.25">
      <c r="E6" s="317"/>
    </row>
    <row r="7" spans="1:7" ht="21" customHeight="1" thickBot="1" x14ac:dyDescent="0.35">
      <c r="E7" s="889" t="s">
        <v>329</v>
      </c>
      <c r="F7" s="419"/>
    </row>
    <row r="8" spans="1:7" ht="93" customHeight="1" thickBot="1" x14ac:dyDescent="0.3">
      <c r="A8" s="1021" t="s">
        <v>774</v>
      </c>
      <c r="B8" s="1667" t="s">
        <v>769</v>
      </c>
      <c r="C8" s="664" t="s">
        <v>365</v>
      </c>
      <c r="D8" s="579" t="str">
        <f>'20. Ellátottak p.jutattás (K4)'!D7</f>
        <v>Önkormányzat 2017. évi eredeti előirányzat</v>
      </c>
      <c r="E8" s="735" t="str">
        <f>'20. Ellátottak p.jutattás (K4)'!E7</f>
        <v>Önkormányzat 2018. évi eredeti előirányzat</v>
      </c>
      <c r="F8" s="1141"/>
    </row>
    <row r="9" spans="1:7" ht="26.25" customHeight="1" x14ac:dyDescent="0.25">
      <c r="A9" s="1655">
        <v>1</v>
      </c>
      <c r="B9" s="1656" t="s">
        <v>129</v>
      </c>
      <c r="C9" s="1657" t="s">
        <v>971</v>
      </c>
      <c r="D9" s="1658">
        <v>0</v>
      </c>
      <c r="E9" s="1659">
        <v>4674</v>
      </c>
      <c r="F9" s="1142"/>
    </row>
    <row r="10" spans="1:7" ht="26.25" customHeight="1" thickBot="1" x14ac:dyDescent="0.3">
      <c r="A10" s="1660">
        <v>2</v>
      </c>
      <c r="B10" s="1661" t="s">
        <v>129</v>
      </c>
      <c r="C10" s="1662" t="s">
        <v>1125</v>
      </c>
      <c r="D10" s="1663"/>
      <c r="E10" s="1664">
        <v>2376</v>
      </c>
      <c r="F10" s="1142"/>
    </row>
    <row r="11" spans="1:7" s="57" customFormat="1" ht="24.95" customHeight="1" thickBot="1" x14ac:dyDescent="0.25">
      <c r="A11" s="1022" t="s">
        <v>817</v>
      </c>
      <c r="B11" s="1668" t="s">
        <v>129</v>
      </c>
      <c r="C11" s="181" t="s">
        <v>130</v>
      </c>
      <c r="D11" s="662">
        <f>SUM(D9:D10)</f>
        <v>0</v>
      </c>
      <c r="E11" s="736">
        <f>SUM(E9:E10)</f>
        <v>7050</v>
      </c>
      <c r="F11" s="1143"/>
    </row>
    <row r="12" spans="1:7" ht="30" customHeight="1" x14ac:dyDescent="0.25">
      <c r="A12" s="1023" t="s">
        <v>174</v>
      </c>
      <c r="B12" s="1669" t="s">
        <v>301</v>
      </c>
      <c r="C12" s="143" t="s">
        <v>131</v>
      </c>
      <c r="D12" s="1130">
        <v>0</v>
      </c>
      <c r="E12" s="758">
        <v>0</v>
      </c>
      <c r="F12" s="1142"/>
    </row>
    <row r="13" spans="1:7" ht="30" customHeight="1" x14ac:dyDescent="0.25">
      <c r="A13" s="1024" t="s">
        <v>176</v>
      </c>
      <c r="B13" s="1670" t="s">
        <v>301</v>
      </c>
      <c r="C13" s="107" t="s">
        <v>1111</v>
      </c>
      <c r="D13" s="1130">
        <v>3000</v>
      </c>
      <c r="E13" s="758">
        <f>(2777876+2672437)/1000</f>
        <v>5450.3130000000001</v>
      </c>
      <c r="F13" s="1142"/>
    </row>
    <row r="14" spans="1:7" ht="30" customHeight="1" x14ac:dyDescent="0.25">
      <c r="A14" s="1024" t="s">
        <v>818</v>
      </c>
      <c r="B14" s="1670" t="s">
        <v>301</v>
      </c>
      <c r="C14" s="107" t="s">
        <v>132</v>
      </c>
      <c r="D14" s="1130">
        <v>500</v>
      </c>
      <c r="E14" s="758">
        <v>0</v>
      </c>
      <c r="F14" s="1142"/>
    </row>
    <row r="15" spans="1:7" ht="30" hidden="1" customHeight="1" x14ac:dyDescent="0.25">
      <c r="A15" s="1024" t="s">
        <v>179</v>
      </c>
      <c r="B15" s="1670" t="s">
        <v>301</v>
      </c>
      <c r="C15" s="107" t="s">
        <v>850</v>
      </c>
      <c r="D15" s="1130"/>
      <c r="E15" s="758"/>
      <c r="F15" s="1142"/>
    </row>
    <row r="16" spans="1:7" ht="30.75" customHeight="1" x14ac:dyDescent="0.25">
      <c r="A16" s="1024" t="s">
        <v>182</v>
      </c>
      <c r="B16" s="1670" t="s">
        <v>301</v>
      </c>
      <c r="C16" s="107" t="s">
        <v>771</v>
      </c>
      <c r="D16" s="1130">
        <v>32496</v>
      </c>
      <c r="E16" s="758">
        <v>37316</v>
      </c>
      <c r="F16" s="1142"/>
    </row>
    <row r="17" spans="1:9" ht="29.25" customHeight="1" x14ac:dyDescent="0.25">
      <c r="A17" s="1024" t="s">
        <v>185</v>
      </c>
      <c r="B17" s="1670" t="s">
        <v>301</v>
      </c>
      <c r="C17" s="107" t="s">
        <v>772</v>
      </c>
      <c r="D17" s="1130">
        <v>44420</v>
      </c>
      <c r="E17" s="758">
        <f>3986+50+5577+4578+4950+8544+2726+350+16320</f>
        <v>47081</v>
      </c>
      <c r="G17" s="58"/>
      <c r="H17" s="58"/>
      <c r="I17" s="58"/>
    </row>
    <row r="18" spans="1:9" ht="29.25" customHeight="1" x14ac:dyDescent="0.25">
      <c r="A18" s="1024" t="s">
        <v>187</v>
      </c>
      <c r="B18" s="1670" t="s">
        <v>301</v>
      </c>
      <c r="C18" s="107" t="s">
        <v>773</v>
      </c>
      <c r="D18" s="1130">
        <v>2666</v>
      </c>
      <c r="E18" s="758">
        <v>2734</v>
      </c>
      <c r="F18" s="1142"/>
      <c r="G18" s="58"/>
      <c r="I18" s="58"/>
    </row>
    <row r="19" spans="1:9" ht="35.25" customHeight="1" x14ac:dyDescent="0.25">
      <c r="A19" s="1024" t="s">
        <v>189</v>
      </c>
      <c r="B19" s="1670" t="s">
        <v>301</v>
      </c>
      <c r="C19" s="107" t="s">
        <v>775</v>
      </c>
      <c r="D19" s="1130">
        <v>20100</v>
      </c>
      <c r="E19" s="758">
        <f>22110</f>
        <v>22110</v>
      </c>
      <c r="F19" s="1142"/>
      <c r="G19" s="58"/>
    </row>
    <row r="20" spans="1:9" ht="30.75" customHeight="1" x14ac:dyDescent="0.25">
      <c r="A20" s="1024" t="s">
        <v>191</v>
      </c>
      <c r="B20" s="1670" t="s">
        <v>301</v>
      </c>
      <c r="C20" s="107" t="s">
        <v>133</v>
      </c>
      <c r="D20" s="1130">
        <v>4000</v>
      </c>
      <c r="E20" s="758">
        <v>2320</v>
      </c>
      <c r="F20" s="1142"/>
    </row>
    <row r="21" spans="1:9" ht="30.75" customHeight="1" thickBot="1" x14ac:dyDescent="0.3">
      <c r="A21" s="1024" t="s">
        <v>196</v>
      </c>
      <c r="B21" s="1670" t="s">
        <v>301</v>
      </c>
      <c r="C21" s="759" t="s">
        <v>1112</v>
      </c>
      <c r="D21" s="1131"/>
      <c r="E21" s="773">
        <v>200</v>
      </c>
      <c r="F21" s="1142"/>
    </row>
    <row r="22" spans="1:9" s="57" customFormat="1" ht="30" customHeight="1" thickBot="1" x14ac:dyDescent="0.25">
      <c r="A22" s="1022" t="s">
        <v>199</v>
      </c>
      <c r="B22" s="1668" t="s">
        <v>301</v>
      </c>
      <c r="C22" s="181" t="s">
        <v>302</v>
      </c>
      <c r="D22" s="662">
        <f>SUM(D12:D20)</f>
        <v>107182</v>
      </c>
      <c r="E22" s="736">
        <f>SUM(E12:E21)</f>
        <v>117211.31299999999</v>
      </c>
      <c r="F22" s="1143"/>
    </row>
    <row r="23" spans="1:9" s="57" customFormat="1" ht="30" customHeight="1" thickBot="1" x14ac:dyDescent="0.25">
      <c r="A23" s="1022" t="s">
        <v>202</v>
      </c>
      <c r="B23" s="1668" t="s">
        <v>134</v>
      </c>
      <c r="C23" s="181" t="s">
        <v>135</v>
      </c>
      <c r="D23" s="662"/>
      <c r="E23" s="736">
        <f t="shared" ref="E23:E41" si="0">D23</f>
        <v>0</v>
      </c>
      <c r="F23" s="1143"/>
    </row>
    <row r="24" spans="1:9" s="57" customFormat="1" ht="30" customHeight="1" thickBot="1" x14ac:dyDescent="0.25">
      <c r="A24" s="1022" t="s">
        <v>206</v>
      </c>
      <c r="B24" s="1668" t="s">
        <v>136</v>
      </c>
      <c r="C24" s="181" t="s">
        <v>137</v>
      </c>
      <c r="D24" s="662"/>
      <c r="E24" s="736">
        <f t="shared" si="0"/>
        <v>0</v>
      </c>
      <c r="F24" s="1143"/>
    </row>
    <row r="25" spans="1:9" s="57" customFormat="1" ht="30" customHeight="1" thickBot="1" x14ac:dyDescent="0.25">
      <c r="A25" s="1022" t="s">
        <v>209</v>
      </c>
      <c r="B25" s="1668" t="s">
        <v>138</v>
      </c>
      <c r="C25" s="181" t="s">
        <v>139</v>
      </c>
      <c r="D25" s="662"/>
      <c r="E25" s="736">
        <f t="shared" si="0"/>
        <v>0</v>
      </c>
      <c r="F25" s="1143"/>
    </row>
    <row r="26" spans="1:9" s="57" customFormat="1" ht="30" customHeight="1" thickBot="1" x14ac:dyDescent="0.25">
      <c r="A26" s="1022" t="s">
        <v>211</v>
      </c>
      <c r="B26" s="1668" t="s">
        <v>140</v>
      </c>
      <c r="C26" s="181" t="s">
        <v>141</v>
      </c>
      <c r="D26" s="662"/>
      <c r="E26" s="736">
        <f t="shared" si="0"/>
        <v>0</v>
      </c>
      <c r="F26" s="1143"/>
    </row>
    <row r="27" spans="1:9" ht="30.75" customHeight="1" x14ac:dyDescent="0.25">
      <c r="A27" s="1024" t="s">
        <v>819</v>
      </c>
      <c r="B27" s="1670" t="s">
        <v>304</v>
      </c>
      <c r="C27" s="121" t="s">
        <v>1113</v>
      </c>
      <c r="D27" s="928"/>
      <c r="E27" s="737">
        <f>((80*12)*2)</f>
        <v>1920</v>
      </c>
      <c r="F27" s="1142"/>
    </row>
    <row r="28" spans="1:9" ht="30.75" customHeight="1" x14ac:dyDescent="0.25">
      <c r="A28" s="1024" t="s">
        <v>820</v>
      </c>
      <c r="B28" s="1670" t="s">
        <v>304</v>
      </c>
      <c r="C28" s="121" t="s">
        <v>142</v>
      </c>
      <c r="D28" s="928">
        <v>9900</v>
      </c>
      <c r="E28" s="1447">
        <v>9900</v>
      </c>
      <c r="F28" s="1142"/>
    </row>
    <row r="29" spans="1:9" ht="30.75" customHeight="1" x14ac:dyDescent="0.25">
      <c r="A29" s="1024" t="s">
        <v>214</v>
      </c>
      <c r="B29" s="1670" t="s">
        <v>304</v>
      </c>
      <c r="C29" s="121" t="s">
        <v>1025</v>
      </c>
      <c r="D29" s="928"/>
      <c r="E29" s="1447">
        <f>1680+120</f>
        <v>1800</v>
      </c>
      <c r="F29" s="1142"/>
    </row>
    <row r="30" spans="1:9" ht="42" customHeight="1" thickBot="1" x14ac:dyDescent="0.3">
      <c r="A30" s="1024" t="s">
        <v>215</v>
      </c>
      <c r="B30" s="1670" t="s">
        <v>304</v>
      </c>
      <c r="C30" s="107" t="s">
        <v>1000</v>
      </c>
      <c r="D30" s="653">
        <f>150+500+156</f>
        <v>806</v>
      </c>
      <c r="E30" s="737">
        <v>1200</v>
      </c>
      <c r="F30" s="1144"/>
    </row>
    <row r="31" spans="1:9" ht="30.75" hidden="1" customHeight="1" thickBot="1" x14ac:dyDescent="0.3">
      <c r="A31" s="1024" t="s">
        <v>216</v>
      </c>
      <c r="B31" s="1670" t="s">
        <v>304</v>
      </c>
      <c r="C31" s="178" t="s">
        <v>143</v>
      </c>
      <c r="D31" s="653"/>
      <c r="E31" s="737">
        <f t="shared" si="0"/>
        <v>0</v>
      </c>
      <c r="F31" s="1144"/>
    </row>
    <row r="32" spans="1:9" s="57" customFormat="1" ht="30.75" customHeight="1" thickBot="1" x14ac:dyDescent="0.25">
      <c r="A32" s="1022" t="s">
        <v>87</v>
      </c>
      <c r="B32" s="1668" t="s">
        <v>304</v>
      </c>
      <c r="C32" s="181" t="s">
        <v>303</v>
      </c>
      <c r="D32" s="662">
        <f>SUM(D28:D31)</f>
        <v>10706</v>
      </c>
      <c r="E32" s="736">
        <f>SUM(E27:E31)</f>
        <v>14820</v>
      </c>
      <c r="F32" s="1143"/>
    </row>
    <row r="33" spans="1:7" ht="30.75" customHeight="1" x14ac:dyDescent="0.25">
      <c r="A33" s="1025" t="s">
        <v>219</v>
      </c>
      <c r="B33" s="1671" t="s">
        <v>776</v>
      </c>
      <c r="C33" s="179" t="s">
        <v>923</v>
      </c>
      <c r="D33" s="663">
        <f>'22. Tartalékok (K512)'!C27</f>
        <v>17100</v>
      </c>
      <c r="E33" s="1202">
        <f>'22. Tartalékok (K512)'!D27</f>
        <v>15100</v>
      </c>
      <c r="F33" s="1144"/>
    </row>
    <row r="34" spans="1:7" ht="30.75" customHeight="1" x14ac:dyDescent="0.25">
      <c r="A34" s="1025" t="s">
        <v>88</v>
      </c>
      <c r="B34" s="1671" t="s">
        <v>776</v>
      </c>
      <c r="C34" s="110" t="s">
        <v>924</v>
      </c>
      <c r="D34" s="654">
        <f>'22. Tartalékok (K512)'!C26</f>
        <v>1679</v>
      </c>
      <c r="E34" s="738">
        <f>'22. Tartalékok (K512)'!D26</f>
        <v>0</v>
      </c>
      <c r="F34" s="1144"/>
      <c r="G34" s="58"/>
    </row>
    <row r="35" spans="1:7" ht="30.75" customHeight="1" thickBot="1" x14ac:dyDescent="0.3">
      <c r="A35" s="1025" t="s">
        <v>222</v>
      </c>
      <c r="B35" s="1671" t="s">
        <v>776</v>
      </c>
      <c r="C35" s="110" t="s">
        <v>925</v>
      </c>
      <c r="D35" s="654">
        <f>'22. Tartalékok (K512)'!C22</f>
        <v>179675</v>
      </c>
      <c r="E35" s="738">
        <f>'22. Tartalékok (K512)'!D22</f>
        <v>120348</v>
      </c>
      <c r="F35" s="1144"/>
    </row>
    <row r="36" spans="1:7" s="57" customFormat="1" ht="30.75" customHeight="1" thickBot="1" x14ac:dyDescent="0.25">
      <c r="A36" s="1026" t="s">
        <v>225</v>
      </c>
      <c r="B36" s="1672" t="s">
        <v>776</v>
      </c>
      <c r="C36" s="181" t="s">
        <v>144</v>
      </c>
      <c r="D36" s="662">
        <f>SUM(D33:D35)</f>
        <v>198454</v>
      </c>
      <c r="E36" s="736">
        <f>SUM(E33:E35)</f>
        <v>135448</v>
      </c>
      <c r="F36" s="1143"/>
    </row>
    <row r="37" spans="1:7" s="57" customFormat="1" ht="30.75" customHeight="1" thickBot="1" x14ac:dyDescent="0.25">
      <c r="A37" s="1665" t="s">
        <v>226</v>
      </c>
      <c r="B37" s="1448" t="s">
        <v>307</v>
      </c>
      <c r="C37" s="180" t="s">
        <v>667</v>
      </c>
      <c r="D37" s="655">
        <f>D11+D22+D23+D24+D25+D26+D32+D36</f>
        <v>316342</v>
      </c>
      <c r="E37" s="739">
        <f>E11+E22+E23+E24+E25+E26+E32+E36</f>
        <v>274529.31299999997</v>
      </c>
      <c r="F37" s="1145"/>
    </row>
    <row r="38" spans="1:7" ht="30.75" customHeight="1" thickBot="1" x14ac:dyDescent="0.3">
      <c r="A38" s="1666" t="s">
        <v>228</v>
      </c>
      <c r="B38" s="1449" t="s">
        <v>259</v>
      </c>
      <c r="C38" s="1450" t="s">
        <v>1026</v>
      </c>
      <c r="D38" s="1451"/>
      <c r="E38" s="1452">
        <v>7846</v>
      </c>
      <c r="F38" s="1144"/>
    </row>
    <row r="39" spans="1:7" ht="30.75" customHeight="1" thickBot="1" x14ac:dyDescent="0.3">
      <c r="A39" s="1665" t="s">
        <v>229</v>
      </c>
      <c r="B39" s="1448" t="s">
        <v>259</v>
      </c>
      <c r="C39" s="180" t="s">
        <v>652</v>
      </c>
      <c r="D39" s="655">
        <f>SUM(D38:D38)</f>
        <v>0</v>
      </c>
      <c r="E39" s="739">
        <f>SUM(E38:E38)</f>
        <v>7846</v>
      </c>
      <c r="F39" s="1145"/>
    </row>
    <row r="40" spans="1:7" ht="30.75" customHeight="1" thickBot="1" x14ac:dyDescent="0.3">
      <c r="A40" s="1666" t="s">
        <v>230</v>
      </c>
      <c r="B40" s="1449" t="s">
        <v>846</v>
      </c>
      <c r="C40" s="1450" t="s">
        <v>847</v>
      </c>
      <c r="D40" s="1451"/>
      <c r="E40" s="1452">
        <f t="shared" si="0"/>
        <v>0</v>
      </c>
      <c r="F40" s="1144"/>
    </row>
    <row r="41" spans="1:7" ht="27" customHeight="1" thickBot="1" x14ac:dyDescent="0.3">
      <c r="A41" s="1665" t="s">
        <v>233</v>
      </c>
      <c r="B41" s="1448" t="s">
        <v>846</v>
      </c>
      <c r="C41" s="180" t="s">
        <v>847</v>
      </c>
      <c r="D41" s="655">
        <f>SUM(D40)</f>
        <v>0</v>
      </c>
      <c r="E41" s="739">
        <f t="shared" si="0"/>
        <v>0</v>
      </c>
      <c r="F41" s="1145"/>
    </row>
    <row r="42" spans="1:7" ht="27" customHeight="1" thickBot="1" x14ac:dyDescent="0.3">
      <c r="A42" s="1665" t="s">
        <v>236</v>
      </c>
      <c r="B42" s="1448" t="s">
        <v>314</v>
      </c>
      <c r="C42" s="180" t="s">
        <v>848</v>
      </c>
      <c r="D42" s="655">
        <f>D39+D41</f>
        <v>0</v>
      </c>
      <c r="E42" s="739">
        <f>E39+E41</f>
        <v>7846</v>
      </c>
      <c r="F42" s="1145"/>
    </row>
  </sheetData>
  <mergeCells count="3">
    <mergeCell ref="A1:E1"/>
    <mergeCell ref="A2:E2"/>
    <mergeCell ref="A3:E3"/>
  </mergeCells>
  <phoneticPr fontId="57" type="noConversion"/>
  <pageMargins left="0.33" right="0.28000000000000003" top="1" bottom="1" header="0.5" footer="0.5"/>
  <pageSetup paperSize="9" scale="5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3" tint="-0.249977111117893"/>
    <pageSetUpPr fitToPage="1"/>
  </sheetPr>
  <dimension ref="A1:G35"/>
  <sheetViews>
    <sheetView view="pageBreakPreview" zoomScaleSheetLayoutView="100" workbookViewId="0">
      <selection activeCell="B13" sqref="B13"/>
    </sheetView>
  </sheetViews>
  <sheetFormatPr defaultRowHeight="15.75" x14ac:dyDescent="0.25"/>
  <cols>
    <col min="1" max="1" width="11.140625" style="4" customWidth="1"/>
    <col min="2" max="2" width="71" style="4" customWidth="1"/>
    <col min="3" max="4" width="21.28515625" style="4" customWidth="1"/>
    <col min="5" max="5" width="21.28515625" style="28" customWidth="1"/>
    <col min="6" max="16384" width="9.140625" style="4"/>
  </cols>
  <sheetData>
    <row r="1" spans="1:7" ht="27" customHeight="1" x14ac:dyDescent="0.3">
      <c r="A1" s="1838" t="str">
        <f>Tartalomjegyzék_2018!A1</f>
        <v>Pilisvörösvár Város Önkormányzata Képviselő-testületének 2/2018. (II. 9.) önkormányzati rendelete</v>
      </c>
      <c r="B1" s="1838"/>
      <c r="C1" s="1898"/>
      <c r="D1" s="1827"/>
      <c r="E1" s="1133"/>
    </row>
    <row r="2" spans="1:7" ht="24.75" customHeight="1" x14ac:dyDescent="0.3">
      <c r="A2" s="1838" t="str">
        <f>'21. Pe. átad. és tám. (K5)'!A2:D2</f>
        <v>az Önkormányzat  2018. évi költségvetéséről</v>
      </c>
      <c r="B2" s="1838"/>
      <c r="C2" s="1898"/>
      <c r="D2" s="1827"/>
      <c r="E2" s="1146"/>
    </row>
    <row r="3" spans="1:7" s="18" customFormat="1" ht="18.75" x14ac:dyDescent="0.3">
      <c r="A3" s="1897"/>
      <c r="B3" s="1897"/>
      <c r="C3" s="7"/>
      <c r="D3" s="7"/>
      <c r="E3" s="1147"/>
    </row>
    <row r="4" spans="1:7" s="18" customFormat="1" ht="18.75" customHeight="1" x14ac:dyDescent="0.3">
      <c r="A4" s="1838" t="str">
        <f>Tartalomjegyzék_2018!B29</f>
        <v>Pilisvörösvár Város Önkormányzata tartalékai</v>
      </c>
      <c r="B4" s="1838"/>
      <c r="C4" s="1898"/>
      <c r="D4" s="1827"/>
      <c r="E4" s="1146"/>
    </row>
    <row r="5" spans="1:7" s="18" customFormat="1" x14ac:dyDescent="0.25">
      <c r="A5" s="711"/>
      <c r="B5" s="711"/>
      <c r="C5" s="705"/>
      <c r="D5" s="1074"/>
      <c r="E5" s="1133"/>
    </row>
    <row r="6" spans="1:7" s="18" customFormat="1" ht="18.75" x14ac:dyDescent="0.3">
      <c r="A6" s="718"/>
      <c r="B6" s="718"/>
      <c r="D6" s="819" t="s">
        <v>1041</v>
      </c>
      <c r="E6" s="719"/>
    </row>
    <row r="7" spans="1:7" s="18" customFormat="1" ht="16.5" customHeight="1" x14ac:dyDescent="0.25">
      <c r="A7" s="182"/>
      <c r="B7" s="183"/>
      <c r="D7" s="317"/>
      <c r="E7" s="1148"/>
    </row>
    <row r="8" spans="1:7" s="18" customFormat="1" ht="19.5" thickBot="1" x14ac:dyDescent="0.3">
      <c r="A8" s="60"/>
      <c r="B8" s="61"/>
      <c r="D8" s="1031" t="s">
        <v>329</v>
      </c>
      <c r="E8" s="1149"/>
    </row>
    <row r="9" spans="1:7" ht="83.25" customHeight="1" thickBot="1" x14ac:dyDescent="0.3">
      <c r="A9" s="740" t="s">
        <v>59</v>
      </c>
      <c r="B9" s="62" t="s">
        <v>365</v>
      </c>
      <c r="C9" s="63" t="str">
        <f>'21. Pe. átad. és tám. (K5)'!D8</f>
        <v>Önkormányzat 2017. évi eredeti előirányzat</v>
      </c>
      <c r="D9" s="741" t="str">
        <f>'21. Pe. átad. és tám. (K5)'!E8</f>
        <v>Önkormányzat 2018. évi eredeti előirányzat</v>
      </c>
      <c r="E9" s="742"/>
    </row>
    <row r="10" spans="1:7" s="18" customFormat="1" ht="30.75" customHeight="1" x14ac:dyDescent="0.25">
      <c r="A10" s="948">
        <v>1</v>
      </c>
      <c r="B10" s="463" t="s">
        <v>777</v>
      </c>
      <c r="C10" s="665">
        <f>75101+9720-5010</f>
        <v>79811</v>
      </c>
      <c r="D10" s="1190">
        <f>75101+11404</f>
        <v>86505</v>
      </c>
      <c r="E10" s="1150"/>
      <c r="F10" s="4"/>
    </row>
    <row r="11" spans="1:7" s="18" customFormat="1" ht="30.75" customHeight="1" x14ac:dyDescent="0.25">
      <c r="A11" s="948">
        <v>2</v>
      </c>
      <c r="B11" s="590" t="s">
        <v>1027</v>
      </c>
      <c r="C11" s="665">
        <v>0</v>
      </c>
      <c r="D11" s="1190">
        <v>45</v>
      </c>
      <c r="E11" s="1150"/>
    </row>
    <row r="12" spans="1:7" s="18" customFormat="1" ht="30.75" customHeight="1" x14ac:dyDescent="0.25">
      <c r="A12" s="948">
        <v>3</v>
      </c>
      <c r="B12" s="590" t="s">
        <v>1053</v>
      </c>
      <c r="C12" s="665">
        <v>132</v>
      </c>
      <c r="D12" s="1190">
        <f>1500</f>
        <v>1500</v>
      </c>
      <c r="E12" s="1150"/>
      <c r="G12" s="4"/>
    </row>
    <row r="13" spans="1:7" s="18" customFormat="1" ht="96" customHeight="1" x14ac:dyDescent="0.25">
      <c r="A13" s="948">
        <v>3.5</v>
      </c>
      <c r="B13" s="463" t="s">
        <v>1065</v>
      </c>
      <c r="C13" s="665">
        <f>84+455+3700</f>
        <v>4239</v>
      </c>
      <c r="D13" s="1190">
        <v>3800</v>
      </c>
      <c r="E13" s="1150"/>
      <c r="F13" s="4"/>
    </row>
    <row r="14" spans="1:7" s="18" customFormat="1" ht="50.25" customHeight="1" x14ac:dyDescent="0.25">
      <c r="A14" s="948">
        <v>5</v>
      </c>
      <c r="B14" s="463" t="s">
        <v>1052</v>
      </c>
      <c r="C14" s="665">
        <f>200+200</f>
        <v>400</v>
      </c>
      <c r="D14" s="1190">
        <v>820</v>
      </c>
      <c r="E14" s="1150"/>
      <c r="F14" s="4"/>
    </row>
    <row r="15" spans="1:7" s="18" customFormat="1" ht="53.25" customHeight="1" x14ac:dyDescent="0.25">
      <c r="A15" s="948">
        <v>6</v>
      </c>
      <c r="B15" s="463" t="s">
        <v>1050</v>
      </c>
      <c r="C15" s="665">
        <f>948+1500+700</f>
        <v>3148</v>
      </c>
      <c r="D15" s="1190">
        <v>2328</v>
      </c>
      <c r="E15" s="1150"/>
      <c r="F15" s="4"/>
    </row>
    <row r="16" spans="1:7" s="18" customFormat="1" ht="30.75" customHeight="1" x14ac:dyDescent="0.25">
      <c r="A16" s="948">
        <v>7</v>
      </c>
      <c r="B16" s="463" t="s">
        <v>1127</v>
      </c>
      <c r="C16" s="665">
        <v>3232</v>
      </c>
      <c r="D16" s="1190">
        <v>4500</v>
      </c>
      <c r="E16" s="1150"/>
      <c r="F16" s="506"/>
    </row>
    <row r="17" spans="1:6" s="18" customFormat="1" ht="60" customHeight="1" x14ac:dyDescent="0.25">
      <c r="A17" s="948">
        <v>8</v>
      </c>
      <c r="B17" s="1381" t="s">
        <v>1051</v>
      </c>
      <c r="C17" s="665"/>
      <c r="D17" s="1190">
        <v>850</v>
      </c>
      <c r="E17" s="1150"/>
      <c r="F17" s="4"/>
    </row>
    <row r="18" spans="1:6" s="18" customFormat="1" ht="30.75" customHeight="1" x14ac:dyDescent="0.25">
      <c r="A18" s="948">
        <v>9</v>
      </c>
      <c r="B18" s="460" t="s">
        <v>802</v>
      </c>
      <c r="C18" s="665">
        <f>67113-400</f>
        <v>66713</v>
      </c>
      <c r="D18" s="1190">
        <v>0</v>
      </c>
      <c r="E18" s="1150"/>
      <c r="F18" s="4"/>
    </row>
    <row r="19" spans="1:6" s="18" customFormat="1" ht="30.75" customHeight="1" x14ac:dyDescent="0.25">
      <c r="A19" s="948">
        <v>10</v>
      </c>
      <c r="B19" s="460" t="s">
        <v>800</v>
      </c>
      <c r="C19" s="665">
        <v>10000</v>
      </c>
      <c r="D19" s="1190">
        <v>10000</v>
      </c>
      <c r="E19" s="1150"/>
      <c r="F19" s="4"/>
    </row>
    <row r="20" spans="1:6" s="18" customFormat="1" ht="30.75" customHeight="1" x14ac:dyDescent="0.25">
      <c r="A20" s="948">
        <v>11</v>
      </c>
      <c r="B20" s="460" t="s">
        <v>910</v>
      </c>
      <c r="C20" s="665">
        <v>10000</v>
      </c>
      <c r="D20" s="1190">
        <f>17268+368+1-2459-2367+8585-16200+4804</f>
        <v>10000</v>
      </c>
      <c r="E20" s="1150"/>
      <c r="F20" s="4"/>
    </row>
    <row r="21" spans="1:6" s="18" customFormat="1" ht="30.75" customHeight="1" thickBot="1" x14ac:dyDescent="0.3">
      <c r="A21" s="1567">
        <v>12</v>
      </c>
      <c r="B21" s="1568" t="s">
        <v>1126</v>
      </c>
      <c r="C21" s="1569">
        <v>2000</v>
      </c>
      <c r="D21" s="1570">
        <v>0</v>
      </c>
      <c r="E21" s="1150"/>
      <c r="F21" s="4"/>
    </row>
    <row r="22" spans="1:6" ht="30.75" customHeight="1" thickBot="1" x14ac:dyDescent="0.3">
      <c r="A22" s="1027">
        <v>13</v>
      </c>
      <c r="B22" s="184" t="s">
        <v>480</v>
      </c>
      <c r="C22" s="666">
        <f>SUM(C10:C21)</f>
        <v>179675</v>
      </c>
      <c r="D22" s="1191">
        <f>SUM(D10:D21)</f>
        <v>120348</v>
      </c>
      <c r="E22" s="1151"/>
    </row>
    <row r="23" spans="1:6" s="18" customFormat="1" ht="30.75" customHeight="1" x14ac:dyDescent="0.25">
      <c r="A23" s="1028">
        <v>14</v>
      </c>
      <c r="B23" s="517" t="s">
        <v>778</v>
      </c>
      <c r="C23" s="667">
        <v>744</v>
      </c>
      <c r="D23" s="1192">
        <f>C23-744</f>
        <v>0</v>
      </c>
      <c r="E23" s="1150"/>
    </row>
    <row r="24" spans="1:6" s="18" customFormat="1" ht="30.75" customHeight="1" x14ac:dyDescent="0.25">
      <c r="A24" s="1029">
        <v>15</v>
      </c>
      <c r="B24" s="463" t="s">
        <v>744</v>
      </c>
      <c r="C24" s="665">
        <v>868</v>
      </c>
      <c r="D24" s="1190">
        <f>C24-868</f>
        <v>0</v>
      </c>
      <c r="E24" s="1150"/>
      <c r="F24" s="4"/>
    </row>
    <row r="25" spans="1:6" s="18" customFormat="1" ht="30.75" customHeight="1" thickBot="1" x14ac:dyDescent="0.3">
      <c r="A25" s="1029">
        <v>16</v>
      </c>
      <c r="B25" s="463" t="s">
        <v>745</v>
      </c>
      <c r="C25" s="665">
        <v>67</v>
      </c>
      <c r="D25" s="1190">
        <f>C25-67</f>
        <v>0</v>
      </c>
      <c r="E25" s="1150"/>
      <c r="F25" s="4"/>
    </row>
    <row r="26" spans="1:6" ht="30.75" customHeight="1" thickBot="1" x14ac:dyDescent="0.3">
      <c r="A26" s="1027">
        <v>17</v>
      </c>
      <c r="B26" s="184" t="s">
        <v>481</v>
      </c>
      <c r="C26" s="666">
        <f>SUM(C23:C25)</f>
        <v>1679</v>
      </c>
      <c r="D26" s="1191">
        <f>SUM(D23:D25)</f>
        <v>0</v>
      </c>
      <c r="E26" s="1151"/>
    </row>
    <row r="27" spans="1:6" ht="30.75" customHeight="1" thickBot="1" x14ac:dyDescent="0.3">
      <c r="A27" s="1027">
        <v>18</v>
      </c>
      <c r="B27" s="184" t="s">
        <v>451</v>
      </c>
      <c r="C27" s="666">
        <v>17100</v>
      </c>
      <c r="D27" s="1191">
        <f>12000+1100+2000</f>
        <v>15100</v>
      </c>
      <c r="E27" s="1151"/>
    </row>
    <row r="28" spans="1:6" ht="30.75" customHeight="1" thickBot="1" x14ac:dyDescent="0.3">
      <c r="A28" s="1030">
        <v>19</v>
      </c>
      <c r="B28" s="185" t="s">
        <v>838</v>
      </c>
      <c r="C28" s="668">
        <f>C22+C26+C27</f>
        <v>198454</v>
      </c>
      <c r="D28" s="1193">
        <f>D22+D26+D27</f>
        <v>135448</v>
      </c>
      <c r="E28" s="1152"/>
    </row>
    <row r="31" spans="1:6" x14ac:dyDescent="0.25">
      <c r="D31" s="506"/>
      <c r="F31" s="506"/>
    </row>
    <row r="33" spans="6:6" x14ac:dyDescent="0.25">
      <c r="F33" s="506"/>
    </row>
    <row r="35" spans="6:6" ht="15" customHeight="1" x14ac:dyDescent="0.25"/>
  </sheetData>
  <mergeCells count="4">
    <mergeCell ref="A3:B3"/>
    <mergeCell ref="A1:D1"/>
    <mergeCell ref="A2:D2"/>
    <mergeCell ref="A4:D4"/>
  </mergeCells>
  <phoneticPr fontId="57" type="noConversion"/>
  <pageMargins left="0.75" right="0.75" top="1" bottom="1" header="0.5" footer="0.5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3" tint="-0.249977111117893"/>
    <pageSetUpPr fitToPage="1"/>
  </sheetPr>
  <dimension ref="A1:L44"/>
  <sheetViews>
    <sheetView view="pageBreakPreview" zoomScale="40" zoomScaleSheetLayoutView="40" workbookViewId="0">
      <selection sqref="A1:G1"/>
    </sheetView>
  </sheetViews>
  <sheetFormatPr defaultRowHeight="33" x14ac:dyDescent="0.2"/>
  <cols>
    <col min="1" max="1" width="12" style="762" customWidth="1"/>
    <col min="2" max="2" width="244.7109375" style="59" customWidth="1"/>
    <col min="3" max="3" width="33.7109375" style="99" customWidth="1"/>
    <col min="4" max="4" width="34.42578125" style="99" customWidth="1"/>
    <col min="5" max="5" width="31.7109375" style="59" customWidth="1"/>
    <col min="6" max="6" width="32.42578125" style="59" customWidth="1"/>
    <col min="7" max="7" width="9.42578125" style="59" customWidth="1"/>
    <col min="8" max="8" width="33.5703125" style="1153" bestFit="1" customWidth="1"/>
    <col min="9" max="9" width="9.140625" style="59"/>
    <col min="10" max="10" width="33" style="59" bestFit="1" customWidth="1"/>
    <col min="11" max="11" width="10.85546875" style="59" bestFit="1" customWidth="1"/>
    <col min="12" max="12" width="14.140625" style="59" bestFit="1" customWidth="1"/>
    <col min="13" max="16384" width="9.140625" style="59"/>
  </cols>
  <sheetData>
    <row r="1" spans="1:8" s="360" customFormat="1" ht="43.5" customHeight="1" x14ac:dyDescent="0.7">
      <c r="A1" s="1899" t="str">
        <f>Tartalomjegyzék_2018!A1</f>
        <v>Pilisvörösvár Város Önkormányzata Képviselő-testületének 2/2018. (II. 9.) önkormányzati rendelete</v>
      </c>
      <c r="B1" s="1899"/>
      <c r="C1" s="1899"/>
      <c r="D1" s="1899"/>
      <c r="E1" s="1899"/>
      <c r="F1" s="1899"/>
      <c r="G1" s="1900"/>
      <c r="H1" s="1153"/>
    </row>
    <row r="2" spans="1:8" s="360" customFormat="1" ht="45.75" customHeight="1" x14ac:dyDescent="0.7">
      <c r="A2" s="1899" t="str">
        <f>'22. Tartalékok (K512)'!A2:C2</f>
        <v>az Önkormányzat  2018. évi költségvetéséről</v>
      </c>
      <c r="B2" s="1899"/>
      <c r="C2" s="1899"/>
      <c r="D2" s="1899"/>
      <c r="E2" s="1899"/>
      <c r="F2" s="1899"/>
      <c r="G2" s="1900"/>
      <c r="H2" s="1153"/>
    </row>
    <row r="3" spans="1:8" s="360" customFormat="1" ht="18.75" customHeight="1" x14ac:dyDescent="0.7">
      <c r="A3" s="1899"/>
      <c r="B3" s="1899"/>
      <c r="C3" s="1899"/>
      <c r="D3" s="1899"/>
      <c r="E3" s="1899"/>
      <c r="F3" s="1899"/>
      <c r="G3" s="1900"/>
      <c r="H3" s="1153"/>
    </row>
    <row r="4" spans="1:8" s="360" customFormat="1" ht="15.75" customHeight="1" x14ac:dyDescent="0.6">
      <c r="A4" s="1739"/>
      <c r="B4" s="1740"/>
      <c r="C4" s="1740"/>
      <c r="D4" s="1740"/>
      <c r="E4" s="1740"/>
      <c r="F4" s="1740"/>
      <c r="G4" s="1740"/>
      <c r="H4" s="1153"/>
    </row>
    <row r="5" spans="1:8" ht="46.5" x14ac:dyDescent="0.7">
      <c r="A5" s="1899" t="str">
        <f>Tartalomjegyzék_2018!B30</f>
        <v>Pilisvörösvár Város Önkormányzata felhalmozási (beruházási) kiadásai feladatonként</v>
      </c>
      <c r="B5" s="1899"/>
      <c r="C5" s="1899"/>
      <c r="D5" s="1899"/>
      <c r="E5" s="1899"/>
      <c r="F5" s="1899"/>
      <c r="G5" s="1900"/>
    </row>
    <row r="6" spans="1:8" ht="45.75" x14ac:dyDescent="0.65">
      <c r="A6" s="1739"/>
      <c r="B6" s="1740"/>
      <c r="C6" s="1740"/>
      <c r="D6" s="1740"/>
      <c r="E6" s="1741"/>
      <c r="F6" s="1743" t="s">
        <v>1042</v>
      </c>
      <c r="G6" s="1742"/>
    </row>
    <row r="7" spans="1:8" ht="45.75" x14ac:dyDescent="0.65">
      <c r="A7" s="1739"/>
      <c r="B7" s="1740"/>
      <c r="C7" s="1740"/>
      <c r="D7" s="1740"/>
      <c r="E7" s="1741"/>
      <c r="F7" s="1743"/>
      <c r="G7" s="1744"/>
    </row>
    <row r="8" spans="1:8" ht="45.75" x14ac:dyDescent="0.65">
      <c r="A8" s="1745"/>
      <c r="B8" s="1746"/>
      <c r="C8" s="1746"/>
      <c r="D8" s="1746"/>
      <c r="E8" s="1741"/>
      <c r="F8" s="1744" t="s">
        <v>329</v>
      </c>
      <c r="G8" s="1744"/>
    </row>
    <row r="9" spans="1:8" ht="42" customHeight="1" thickBot="1" x14ac:dyDescent="0.7">
      <c r="A9" s="1901" t="s">
        <v>463</v>
      </c>
      <c r="B9" s="1902"/>
      <c r="C9" s="1902"/>
      <c r="D9" s="1902"/>
      <c r="E9" s="1903"/>
      <c r="F9" s="1903"/>
      <c r="G9" s="1741"/>
    </row>
    <row r="10" spans="1:8" s="339" customFormat="1" ht="150" customHeight="1" thickBot="1" x14ac:dyDescent="0.3">
      <c r="A10" s="756" t="s">
        <v>3</v>
      </c>
      <c r="B10" s="1184" t="s">
        <v>365</v>
      </c>
      <c r="C10" s="1182" t="str">
        <f>'22. Tartalékok (K512)'!C9</f>
        <v>Önkormányzat 2017. évi eredeti előirányzat</v>
      </c>
      <c r="D10" s="1182" t="str">
        <f>'22. Tartalékok (K512)'!D9</f>
        <v>Önkormányzat 2018. évi eredeti előirányzat</v>
      </c>
      <c r="E10" s="1182" t="str">
        <f>'20. Ellátottak p.jutattás (K4)'!F7</f>
        <v>Polgármesteri Hivatal 2017. évi eredeti előirányzat</v>
      </c>
      <c r="F10" s="1183" t="str">
        <f>'20. Ellátottak p.jutattás (K4)'!G7</f>
        <v>Polgármesteri Hivatal 2018. évi eredeti előirányzat</v>
      </c>
      <c r="G10" s="754"/>
      <c r="H10" s="1153"/>
    </row>
    <row r="11" spans="1:8" s="339" customFormat="1" ht="123" customHeight="1" x14ac:dyDescent="0.25">
      <c r="A11" s="1506">
        <v>1</v>
      </c>
      <c r="B11" s="1509" t="s">
        <v>1144</v>
      </c>
      <c r="C11" s="1507"/>
      <c r="D11" s="1271">
        <f>1842+2612+1524+5000</f>
        <v>10978</v>
      </c>
      <c r="E11" s="1507"/>
      <c r="F11" s="1508"/>
      <c r="G11" s="754"/>
      <c r="H11" s="1153"/>
    </row>
    <row r="12" spans="1:8" s="366" customFormat="1" ht="76.5" x14ac:dyDescent="0.35">
      <c r="A12" s="1454">
        <v>2</v>
      </c>
      <c r="B12" s="1455" t="s">
        <v>1114</v>
      </c>
      <c r="C12" s="1269"/>
      <c r="D12" s="1271">
        <v>7578</v>
      </c>
      <c r="E12" s="1269"/>
      <c r="F12" s="1270"/>
      <c r="G12" s="755"/>
      <c r="H12" s="1153"/>
    </row>
    <row r="13" spans="1:8" s="367" customFormat="1" ht="45" x14ac:dyDescent="0.3">
      <c r="A13" s="1456">
        <v>3</v>
      </c>
      <c r="B13" s="1457" t="s">
        <v>465</v>
      </c>
      <c r="C13" s="1272">
        <v>1143</v>
      </c>
      <c r="D13" s="1272">
        <f>SUM(D11:D12)</f>
        <v>18556</v>
      </c>
      <c r="E13" s="1272">
        <f t="shared" ref="E13:F13" si="0">SUM(E11:E12)</f>
        <v>0</v>
      </c>
      <c r="F13" s="1272">
        <f t="shared" si="0"/>
        <v>0</v>
      </c>
      <c r="G13" s="755"/>
      <c r="H13" s="1154"/>
    </row>
    <row r="14" spans="1:8" s="366" customFormat="1" ht="183" customHeight="1" x14ac:dyDescent="0.35">
      <c r="A14" s="1458">
        <v>4</v>
      </c>
      <c r="B14" s="1455" t="s">
        <v>1145</v>
      </c>
      <c r="C14" s="1271">
        <f>35000+31451+37000+1000</f>
        <v>104451</v>
      </c>
      <c r="D14" s="1271">
        <f>107950+19050+7000+4826</f>
        <v>138826</v>
      </c>
      <c r="E14" s="1271"/>
      <c r="F14" s="1274"/>
      <c r="G14" s="755"/>
      <c r="H14" s="1153"/>
    </row>
    <row r="15" spans="1:8" s="366" customFormat="1" ht="229.5" x14ac:dyDescent="0.35">
      <c r="A15" s="1458">
        <v>5</v>
      </c>
      <c r="B15" s="1453" t="s">
        <v>1146</v>
      </c>
      <c r="C15" s="1271">
        <v>10000</v>
      </c>
      <c r="D15" s="1271">
        <f>7500+12000+12000+12000+16500</f>
        <v>60000</v>
      </c>
      <c r="E15" s="1271"/>
      <c r="F15" s="1274"/>
      <c r="G15" s="755"/>
      <c r="H15" s="1153"/>
    </row>
    <row r="16" spans="1:8" s="366" customFormat="1" ht="45.75" x14ac:dyDescent="0.35">
      <c r="A16" s="1458">
        <v>6</v>
      </c>
      <c r="B16" s="1453" t="s">
        <v>1147</v>
      </c>
      <c r="C16" s="1271"/>
      <c r="D16" s="1271">
        <v>6000</v>
      </c>
      <c r="E16" s="1271"/>
      <c r="F16" s="1274"/>
      <c r="G16" s="755"/>
      <c r="H16" s="1153"/>
    </row>
    <row r="17" spans="1:12" s="366" customFormat="1" ht="45.75" x14ac:dyDescent="0.35">
      <c r="A17" s="1458">
        <v>7</v>
      </c>
      <c r="B17" s="1459" t="s">
        <v>946</v>
      </c>
      <c r="C17" s="1271"/>
      <c r="D17" s="1271">
        <v>1750</v>
      </c>
      <c r="E17" s="1271"/>
      <c r="F17" s="1274"/>
      <c r="G17" s="755"/>
      <c r="H17" s="1155"/>
    </row>
    <row r="18" spans="1:12" s="366" customFormat="1" ht="76.5" x14ac:dyDescent="0.35">
      <c r="A18" s="1458">
        <v>8</v>
      </c>
      <c r="B18" s="1459" t="s">
        <v>1055</v>
      </c>
      <c r="C18" s="1271"/>
      <c r="D18" s="1271">
        <f>22332+3336+14332</f>
        <v>40000</v>
      </c>
      <c r="E18" s="1271"/>
      <c r="F18" s="1274"/>
      <c r="G18" s="755"/>
      <c r="H18" s="1155"/>
    </row>
    <row r="19" spans="1:12" s="366" customFormat="1" ht="45.75" x14ac:dyDescent="0.35">
      <c r="A19" s="1458">
        <v>9</v>
      </c>
      <c r="B19" s="1459" t="s">
        <v>1004</v>
      </c>
      <c r="C19" s="1271"/>
      <c r="D19" s="1271">
        <f>566+236+60+21+149</f>
        <v>1032</v>
      </c>
      <c r="E19" s="1271"/>
      <c r="F19" s="1274"/>
      <c r="G19" s="1323"/>
      <c r="H19" s="1155"/>
    </row>
    <row r="20" spans="1:12" s="366" customFormat="1" ht="45.75" x14ac:dyDescent="0.65">
      <c r="A20" s="1456">
        <v>10</v>
      </c>
      <c r="B20" s="1457" t="s">
        <v>467</v>
      </c>
      <c r="C20" s="1272">
        <v>261396</v>
      </c>
      <c r="D20" s="1272">
        <f>SUM(D14:D19)</f>
        <v>247608</v>
      </c>
      <c r="E20" s="1272">
        <f>SUM(E14:E15)</f>
        <v>0</v>
      </c>
      <c r="F20" s="1273">
        <f>SUM(F14:F15)</f>
        <v>0</v>
      </c>
      <c r="G20" s="755"/>
      <c r="H20" s="1153"/>
      <c r="J20" s="1741"/>
    </row>
    <row r="21" spans="1:12" s="366" customFormat="1" ht="45.75" x14ac:dyDescent="0.35">
      <c r="A21" s="1460">
        <v>11</v>
      </c>
      <c r="B21" s="1461" t="s">
        <v>466</v>
      </c>
      <c r="C21" s="1271"/>
      <c r="D21" s="1271"/>
      <c r="E21" s="1271">
        <v>4000</v>
      </c>
      <c r="F21" s="1271">
        <v>4500</v>
      </c>
      <c r="G21" s="755"/>
      <c r="H21" s="1153"/>
    </row>
    <row r="22" spans="1:12" s="366" customFormat="1" ht="45.75" x14ac:dyDescent="0.35">
      <c r="A22" s="1460">
        <v>12</v>
      </c>
      <c r="B22" s="1461" t="s">
        <v>1002</v>
      </c>
      <c r="C22" s="1271"/>
      <c r="D22" s="1271">
        <v>6840</v>
      </c>
      <c r="E22" s="1271"/>
      <c r="F22" s="1274"/>
      <c r="G22" s="755"/>
      <c r="H22" s="1153"/>
    </row>
    <row r="23" spans="1:12" s="366" customFormat="1" ht="45" x14ac:dyDescent="0.35">
      <c r="A23" s="1456">
        <v>13</v>
      </c>
      <c r="B23" s="1457" t="s">
        <v>468</v>
      </c>
      <c r="C23" s="1272">
        <f>SUM(C21:C21)</f>
        <v>0</v>
      </c>
      <c r="D23" s="1272">
        <f>SUM(D21:D22)</f>
        <v>6840</v>
      </c>
      <c r="E23" s="1272">
        <f>SUM(E21:E21)</f>
        <v>4000</v>
      </c>
      <c r="F23" s="1273">
        <f>SUM(F21:F21)</f>
        <v>4500</v>
      </c>
      <c r="G23" s="755"/>
      <c r="H23" s="1153"/>
    </row>
    <row r="24" spans="1:12" s="366" customFormat="1" ht="45.75" x14ac:dyDescent="0.35">
      <c r="A24" s="1458">
        <v>14</v>
      </c>
      <c r="B24" s="1462" t="s">
        <v>750</v>
      </c>
      <c r="C24" s="1271">
        <f>1000+80</f>
        <v>1080</v>
      </c>
      <c r="D24" s="1271"/>
      <c r="E24" s="1271">
        <f>20+1500+40</f>
        <v>1560</v>
      </c>
      <c r="F24" s="1274">
        <v>816</v>
      </c>
      <c r="G24" s="755"/>
      <c r="H24" s="1153"/>
    </row>
    <row r="25" spans="1:12" s="366" customFormat="1" ht="45.75" x14ac:dyDescent="0.35">
      <c r="A25" s="1458">
        <v>15</v>
      </c>
      <c r="B25" s="1463" t="s">
        <v>914</v>
      </c>
      <c r="C25" s="1271"/>
      <c r="D25" s="1271"/>
      <c r="E25" s="1271">
        <v>1500</v>
      </c>
      <c r="F25" s="1274">
        <v>0</v>
      </c>
      <c r="G25" s="755"/>
      <c r="H25" s="1153"/>
    </row>
    <row r="26" spans="1:12" s="366" customFormat="1" ht="45.75" x14ac:dyDescent="0.35">
      <c r="A26" s="1458">
        <v>16</v>
      </c>
      <c r="B26" s="1464" t="s">
        <v>905</v>
      </c>
      <c r="C26" s="1271"/>
      <c r="D26" s="1271"/>
      <c r="E26" s="1271">
        <f>1000+250+2400+200+500</f>
        <v>4350</v>
      </c>
      <c r="F26" s="1274">
        <f>1192</f>
        <v>1192</v>
      </c>
      <c r="G26" s="755"/>
      <c r="H26" s="1153"/>
      <c r="I26" s="520"/>
      <c r="J26" s="520"/>
      <c r="K26" s="520"/>
      <c r="L26" s="520"/>
    </row>
    <row r="27" spans="1:12" s="366" customFormat="1" ht="45.75" x14ac:dyDescent="0.35">
      <c r="A27" s="1458">
        <v>17</v>
      </c>
      <c r="B27" s="1465" t="s">
        <v>1115</v>
      </c>
      <c r="C27" s="1271">
        <v>2000</v>
      </c>
      <c r="D27" s="1271">
        <v>500</v>
      </c>
      <c r="E27" s="1271"/>
      <c r="F27" s="1271"/>
      <c r="G27" s="755"/>
      <c r="H27" s="1155"/>
    </row>
    <row r="28" spans="1:12" s="366" customFormat="1" ht="45.75" x14ac:dyDescent="0.35">
      <c r="A28" s="1458">
        <v>18</v>
      </c>
      <c r="B28" s="1465" t="s">
        <v>912</v>
      </c>
      <c r="C28" s="1271"/>
      <c r="D28" s="1271"/>
      <c r="E28" s="1271">
        <v>250</v>
      </c>
      <c r="F28" s="1274">
        <v>0</v>
      </c>
      <c r="G28" s="755"/>
      <c r="H28" s="1155"/>
    </row>
    <row r="29" spans="1:12" s="366" customFormat="1" ht="45.75" x14ac:dyDescent="0.35">
      <c r="A29" s="1458">
        <v>19</v>
      </c>
      <c r="B29" s="1465" t="s">
        <v>1003</v>
      </c>
      <c r="C29" s="1271"/>
      <c r="D29" s="1271">
        <v>1300</v>
      </c>
      <c r="E29" s="1271"/>
      <c r="F29" s="1274"/>
      <c r="G29" s="755"/>
      <c r="H29" s="1155"/>
    </row>
    <row r="30" spans="1:12" s="366" customFormat="1" ht="76.5" x14ac:dyDescent="0.35">
      <c r="A30" s="1458">
        <v>20</v>
      </c>
      <c r="B30" s="1459" t="s">
        <v>1131</v>
      </c>
      <c r="C30" s="1271"/>
      <c r="D30" s="1271">
        <f>1500+635-500-635</f>
        <v>1000</v>
      </c>
      <c r="E30" s="1271"/>
      <c r="F30" s="1274"/>
      <c r="G30" s="755"/>
      <c r="H30" s="1155"/>
    </row>
    <row r="31" spans="1:12" s="366" customFormat="1" ht="45.75" x14ac:dyDescent="0.35">
      <c r="A31" s="1458">
        <v>21</v>
      </c>
      <c r="B31" s="1459" t="s">
        <v>1091</v>
      </c>
      <c r="C31" s="1271"/>
      <c r="D31" s="1271">
        <v>2500</v>
      </c>
      <c r="E31" s="1271"/>
      <c r="F31" s="1274"/>
      <c r="G31" s="755"/>
      <c r="H31" s="1155"/>
    </row>
    <row r="32" spans="1:12" s="366" customFormat="1" ht="45.75" x14ac:dyDescent="0.35">
      <c r="A32" s="1458">
        <v>22</v>
      </c>
      <c r="B32" s="1459" t="s">
        <v>998</v>
      </c>
      <c r="C32" s="1271"/>
      <c r="D32" s="1271">
        <v>200</v>
      </c>
      <c r="E32" s="1271"/>
      <c r="F32" s="1274"/>
      <c r="G32" s="755"/>
      <c r="H32" s="1155"/>
    </row>
    <row r="33" spans="1:12" s="366" customFormat="1" ht="76.5" x14ac:dyDescent="0.35">
      <c r="A33" s="1458">
        <v>23</v>
      </c>
      <c r="B33" s="1459" t="s">
        <v>1116</v>
      </c>
      <c r="C33" s="1271"/>
      <c r="D33" s="1271">
        <v>6000</v>
      </c>
      <c r="E33" s="1271"/>
      <c r="F33" s="1274"/>
      <c r="G33" s="755"/>
      <c r="H33" s="1155"/>
    </row>
    <row r="34" spans="1:12" s="366" customFormat="1" ht="45" x14ac:dyDescent="0.35">
      <c r="A34" s="1456">
        <v>24</v>
      </c>
      <c r="B34" s="1457" t="s">
        <v>469</v>
      </c>
      <c r="C34" s="1272">
        <f>SUM(C24:C28)</f>
        <v>3080</v>
      </c>
      <c r="D34" s="1272">
        <f>SUM(D24:D33)</f>
        <v>11500</v>
      </c>
      <c r="E34" s="1272">
        <f>SUM(E24:E28)</f>
        <v>7660</v>
      </c>
      <c r="F34" s="1273">
        <f>SUM(F24:F28)</f>
        <v>2008</v>
      </c>
      <c r="G34" s="755"/>
      <c r="H34" s="1153"/>
    </row>
    <row r="35" spans="1:12" s="366" customFormat="1" ht="45.75" x14ac:dyDescent="0.35">
      <c r="A35" s="1458">
        <v>25</v>
      </c>
      <c r="B35" s="1462" t="s">
        <v>904</v>
      </c>
      <c r="C35" s="1271">
        <v>45</v>
      </c>
      <c r="D35" s="1271">
        <v>45</v>
      </c>
      <c r="E35" s="1271"/>
      <c r="F35" s="1274"/>
      <c r="G35" s="755"/>
      <c r="H35" s="1153"/>
    </row>
    <row r="36" spans="1:12" ht="45" x14ac:dyDescent="0.35">
      <c r="A36" s="1456">
        <v>26</v>
      </c>
      <c r="B36" s="1457" t="s">
        <v>470</v>
      </c>
      <c r="C36" s="1272">
        <f>C35</f>
        <v>45</v>
      </c>
      <c r="D36" s="1272">
        <f t="shared" ref="D36:F36" si="1">D35</f>
        <v>45</v>
      </c>
      <c r="E36" s="1272">
        <f t="shared" si="1"/>
        <v>0</v>
      </c>
      <c r="F36" s="1273">
        <f t="shared" si="1"/>
        <v>0</v>
      </c>
      <c r="G36" s="755"/>
      <c r="I36" s="366"/>
      <c r="J36" s="366"/>
      <c r="K36" s="366"/>
      <c r="L36" s="366"/>
    </row>
    <row r="37" spans="1:12" ht="45.75" thickBot="1" x14ac:dyDescent="0.25">
      <c r="A37" s="1456">
        <v>27</v>
      </c>
      <c r="B37" s="1466" t="s">
        <v>471</v>
      </c>
      <c r="C37" s="1275">
        <v>0</v>
      </c>
      <c r="D37" s="1275">
        <f t="shared" ref="D37" si="2">C37</f>
        <v>0</v>
      </c>
      <c r="E37" s="1275">
        <v>0</v>
      </c>
      <c r="F37" s="1276">
        <v>0</v>
      </c>
      <c r="G37" s="755"/>
    </row>
    <row r="38" spans="1:12" ht="45.75" thickBot="1" x14ac:dyDescent="0.4">
      <c r="A38" s="1467">
        <v>28</v>
      </c>
      <c r="B38" s="1468" t="s">
        <v>472</v>
      </c>
      <c r="C38" s="1277">
        <v>265664</v>
      </c>
      <c r="D38" s="1277">
        <f>D37+D36+D34+D23+D13+D20</f>
        <v>284549</v>
      </c>
      <c r="E38" s="1277">
        <f>E37+E36+E34+E23+E13+E20</f>
        <v>11660</v>
      </c>
      <c r="F38" s="1278">
        <f>F37+F36+F34+F23+F13+F20</f>
        <v>6508</v>
      </c>
      <c r="G38" s="755"/>
      <c r="H38" s="1156"/>
      <c r="L38" s="584"/>
    </row>
    <row r="39" spans="1:12" ht="47.25" customHeight="1" x14ac:dyDescent="0.2"/>
    <row r="41" spans="1:12" ht="35.25" x14ac:dyDescent="0.5">
      <c r="D41" s="1812"/>
    </row>
    <row r="43" spans="1:12" x14ac:dyDescent="0.3">
      <c r="C43" s="603"/>
      <c r="D43" s="603"/>
    </row>
    <row r="44" spans="1:12" x14ac:dyDescent="0.35">
      <c r="C44" s="602"/>
      <c r="D44" s="602"/>
    </row>
  </sheetData>
  <autoFilter ref="A5:H38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">
    <mergeCell ref="A1:G1"/>
    <mergeCell ref="A2:G2"/>
    <mergeCell ref="A3:G3"/>
    <mergeCell ref="A5:G5"/>
    <mergeCell ref="A9:F9"/>
  </mergeCells>
  <phoneticPr fontId="57" type="noConversion"/>
  <printOptions horizontalCentered="1"/>
  <pageMargins left="0.25" right="0.25" top="0.75" bottom="0.75" header="0.3" footer="0.3"/>
  <pageSetup paperSize="9" scale="2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G29"/>
  <sheetViews>
    <sheetView view="pageBreakPreview" zoomScale="69" zoomScaleNormal="80" zoomScaleSheetLayoutView="69" workbookViewId="0">
      <selection sqref="A1:F1"/>
    </sheetView>
  </sheetViews>
  <sheetFormatPr defaultRowHeight="18.75" x14ac:dyDescent="0.3"/>
  <cols>
    <col min="1" max="1" width="8.7109375" style="420" customWidth="1"/>
    <col min="2" max="2" width="112" style="420" customWidth="1"/>
    <col min="3" max="4" width="24.5703125" style="420" customWidth="1"/>
    <col min="5" max="6" width="22.85546875" style="420" customWidth="1"/>
    <col min="7" max="7" width="18.28515625" style="420" customWidth="1"/>
    <col min="8" max="16384" width="9.140625" style="420"/>
  </cols>
  <sheetData>
    <row r="1" spans="1:7" s="411" customFormat="1" ht="22.5" customHeight="1" x14ac:dyDescent="0.35">
      <c r="A1" s="1904" t="str">
        <f>'23. Beruházás (K6)'!A1:E1</f>
        <v>Pilisvörösvár Város Önkormányzata Képviselő-testületének 2/2018. (II. 9.) önkormányzati rendelete</v>
      </c>
      <c r="B1" s="1904"/>
      <c r="C1" s="1904"/>
      <c r="D1" s="1904"/>
      <c r="E1" s="1904"/>
      <c r="F1" s="1905"/>
    </row>
    <row r="2" spans="1:7" s="411" customFormat="1" ht="25.5" x14ac:dyDescent="0.35">
      <c r="A2" s="1904" t="str">
        <f>'23. Beruházás (K6)'!A2:E2</f>
        <v>az Önkormányzat  2018. évi költségvetéséről</v>
      </c>
      <c r="B2" s="1904"/>
      <c r="C2" s="1904"/>
      <c r="D2" s="1904"/>
      <c r="E2" s="1904"/>
      <c r="F2" s="1905"/>
    </row>
    <row r="3" spans="1:7" s="412" customFormat="1" ht="22.5" customHeight="1" x14ac:dyDescent="0.35">
      <c r="A3" s="1904"/>
      <c r="B3" s="1904"/>
      <c r="C3" s="1904"/>
      <c r="D3" s="1904"/>
      <c r="E3" s="1904"/>
      <c r="F3" s="1075"/>
    </row>
    <row r="4" spans="1:7" s="412" customFormat="1" ht="22.5" customHeight="1" x14ac:dyDescent="0.35">
      <c r="A4" s="1904" t="str">
        <f>Tartalomjegyzék_2018!B31</f>
        <v>Pilisvörösvár Város Önkormányzata felhalmozási (felújítási) kiadásai feladatonként</v>
      </c>
      <c r="B4" s="1904"/>
      <c r="C4" s="1904"/>
      <c r="D4" s="1904"/>
      <c r="E4" s="1904"/>
      <c r="F4" s="1905"/>
    </row>
    <row r="5" spans="1:7" s="412" customFormat="1" ht="22.5" customHeight="1" x14ac:dyDescent="0.4">
      <c r="A5" s="709"/>
      <c r="B5" s="709"/>
      <c r="C5" s="709"/>
      <c r="D5" s="1070"/>
      <c r="F5" s="1051" t="s">
        <v>1043</v>
      </c>
    </row>
    <row r="6" spans="1:7" s="412" customFormat="1" ht="26.25" x14ac:dyDescent="0.4">
      <c r="A6" s="601"/>
      <c r="B6" s="601"/>
      <c r="C6" s="703"/>
      <c r="D6" s="1070"/>
      <c r="F6" s="1159"/>
    </row>
    <row r="7" spans="1:7" s="412" customFormat="1" ht="26.25" x14ac:dyDescent="0.4">
      <c r="A7" s="414"/>
      <c r="B7" s="413"/>
      <c r="C7" s="415"/>
      <c r="D7" s="415"/>
      <c r="F7" s="1052" t="s">
        <v>329</v>
      </c>
    </row>
    <row r="8" spans="1:7" s="412" customFormat="1" ht="27" thickBot="1" x14ac:dyDescent="0.45">
      <c r="A8" s="1906" t="s">
        <v>473</v>
      </c>
      <c r="B8" s="1906"/>
      <c r="C8" s="1906"/>
      <c r="D8" s="1906"/>
      <c r="E8" s="1907"/>
      <c r="F8" s="1908"/>
    </row>
    <row r="9" spans="1:7" s="412" customFormat="1" ht="117.75" customHeight="1" thickBot="1" x14ac:dyDescent="0.35">
      <c r="A9" s="416" t="s">
        <v>3</v>
      </c>
      <c r="B9" s="1189" t="s">
        <v>464</v>
      </c>
      <c r="C9" s="1187" t="str">
        <f>'23. Beruházás (K6)'!C10</f>
        <v>Önkormányzat 2017. évi eredeti előirányzat</v>
      </c>
      <c r="D9" s="1187" t="str">
        <f>'23. Beruházás (K6)'!D10</f>
        <v>Önkormányzat 2018. évi eredeti előirányzat</v>
      </c>
      <c r="E9" s="1187" t="str">
        <f>'23. Beruházás (K6)'!E10</f>
        <v>Polgármesteri Hivatal 2017. évi eredeti előirányzat</v>
      </c>
      <c r="F9" s="1188" t="str">
        <f>'23. Beruházás (K6)'!F10</f>
        <v>Polgármesteri Hivatal 2018. évi eredeti előirányzat</v>
      </c>
    </row>
    <row r="10" spans="1:7" s="412" customFormat="1" ht="30" hidden="1" customHeight="1" x14ac:dyDescent="0.35">
      <c r="A10" s="417">
        <v>1</v>
      </c>
      <c r="B10" s="418" t="s">
        <v>474</v>
      </c>
      <c r="C10" s="368"/>
      <c r="D10" s="368"/>
      <c r="E10" s="368"/>
      <c r="F10" s="1185"/>
    </row>
    <row r="11" spans="1:7" s="412" customFormat="1" ht="30" customHeight="1" x14ac:dyDescent="0.45">
      <c r="A11" s="763">
        <v>1</v>
      </c>
      <c r="B11" s="767" t="s">
        <v>902</v>
      </c>
      <c r="C11" s="761">
        <f>2000+1000</f>
        <v>3000</v>
      </c>
      <c r="D11" s="761">
        <v>500</v>
      </c>
      <c r="E11" s="761"/>
      <c r="F11" s="1186"/>
      <c r="G11" s="360"/>
    </row>
    <row r="12" spans="1:7" s="1946" customFormat="1" ht="40.5" customHeight="1" x14ac:dyDescent="0.2">
      <c r="A12" s="1941">
        <v>2</v>
      </c>
      <c r="B12" s="1942" t="s">
        <v>1148</v>
      </c>
      <c r="C12" s="1943"/>
      <c r="D12" s="1943">
        <v>2500</v>
      </c>
      <c r="E12" s="1943"/>
      <c r="F12" s="1944"/>
      <c r="G12" s="1945"/>
    </row>
    <row r="13" spans="1:7" s="1946" customFormat="1" ht="54.75" customHeight="1" x14ac:dyDescent="0.2">
      <c r="A13" s="763">
        <v>3</v>
      </c>
      <c r="B13" s="767" t="s">
        <v>913</v>
      </c>
      <c r="C13" s="1947">
        <v>18119</v>
      </c>
      <c r="D13" s="1947">
        <v>0</v>
      </c>
      <c r="E13" s="1947"/>
      <c r="F13" s="1948"/>
      <c r="G13" s="1949"/>
    </row>
    <row r="14" spans="1:7" s="1946" customFormat="1" ht="30.75" x14ac:dyDescent="0.2">
      <c r="A14" s="763">
        <v>4</v>
      </c>
      <c r="B14" s="767" t="s">
        <v>1117</v>
      </c>
      <c r="C14" s="1947"/>
      <c r="D14" s="1947">
        <v>13354</v>
      </c>
      <c r="E14" s="1947"/>
      <c r="F14" s="1948"/>
    </row>
    <row r="15" spans="1:7" s="1946" customFormat="1" ht="30.75" x14ac:dyDescent="0.2">
      <c r="A15" s="763">
        <v>5</v>
      </c>
      <c r="B15" s="767" t="s">
        <v>1035</v>
      </c>
      <c r="C15" s="1947"/>
      <c r="D15" s="1947">
        <v>321</v>
      </c>
      <c r="E15" s="1947"/>
      <c r="F15" s="1948"/>
    </row>
    <row r="16" spans="1:7" s="1946" customFormat="1" ht="30.75" x14ac:dyDescent="0.2">
      <c r="A16" s="763">
        <v>6</v>
      </c>
      <c r="B16" s="767" t="s">
        <v>972</v>
      </c>
      <c r="C16" s="1947"/>
      <c r="D16" s="1947">
        <v>2000</v>
      </c>
      <c r="E16" s="1947"/>
      <c r="F16" s="1948"/>
    </row>
    <row r="17" spans="1:6" s="1946" customFormat="1" ht="46.5" x14ac:dyDescent="0.2">
      <c r="A17" s="763">
        <v>7</v>
      </c>
      <c r="B17" s="767" t="s">
        <v>973</v>
      </c>
      <c r="C17" s="1947"/>
      <c r="D17" s="1947">
        <v>1000</v>
      </c>
      <c r="E17" s="1947"/>
      <c r="F17" s="1948"/>
    </row>
    <row r="18" spans="1:6" s="1946" customFormat="1" ht="46.5" x14ac:dyDescent="0.2">
      <c r="A18" s="763">
        <v>8</v>
      </c>
      <c r="B18" s="767" t="s">
        <v>1001</v>
      </c>
      <c r="C18" s="1947"/>
      <c r="D18" s="1947">
        <v>12619</v>
      </c>
      <c r="E18" s="1947"/>
      <c r="F18" s="1948"/>
    </row>
    <row r="19" spans="1:6" s="1946" customFormat="1" ht="46.5" x14ac:dyDescent="0.2">
      <c r="A19" s="763">
        <v>9</v>
      </c>
      <c r="B19" s="767" t="s">
        <v>999</v>
      </c>
      <c r="C19" s="1947"/>
      <c r="D19" s="1947">
        <f>(3300000+330000)/1000</f>
        <v>3630</v>
      </c>
      <c r="E19" s="1947"/>
      <c r="F19" s="1948"/>
    </row>
    <row r="20" spans="1:6" s="1946" customFormat="1" ht="30.75" x14ac:dyDescent="0.2">
      <c r="A20" s="763">
        <v>10</v>
      </c>
      <c r="B20" s="767" t="s">
        <v>1004</v>
      </c>
      <c r="C20" s="1947"/>
      <c r="D20" s="1947">
        <f>86+118+43+92</f>
        <v>339</v>
      </c>
      <c r="E20" s="1947"/>
      <c r="F20" s="1948"/>
    </row>
    <row r="21" spans="1:6" s="1946" customFormat="1" ht="30.75" x14ac:dyDescent="0.2">
      <c r="A21" s="763">
        <v>11</v>
      </c>
      <c r="B21" s="767" t="s">
        <v>1064</v>
      </c>
      <c r="C21" s="1947"/>
      <c r="D21" s="1947">
        <v>1000</v>
      </c>
      <c r="E21" s="1947"/>
      <c r="F21" s="1948"/>
    </row>
    <row r="22" spans="1:6" s="1946" customFormat="1" ht="30.75" x14ac:dyDescent="0.2">
      <c r="A22" s="763">
        <v>12</v>
      </c>
      <c r="B22" s="767" t="s">
        <v>1054</v>
      </c>
      <c r="C22" s="1947"/>
      <c r="D22" s="1947">
        <v>2000</v>
      </c>
      <c r="E22" s="1947"/>
      <c r="F22" s="1948"/>
    </row>
    <row r="23" spans="1:6" s="1946" customFormat="1" ht="30.75" x14ac:dyDescent="0.2">
      <c r="A23" s="763">
        <v>13</v>
      </c>
      <c r="B23" s="767" t="s">
        <v>1092</v>
      </c>
      <c r="C23" s="1947"/>
      <c r="D23" s="1947">
        <v>3000</v>
      </c>
      <c r="E23" s="1947"/>
      <c r="F23" s="1948"/>
    </row>
    <row r="24" spans="1:6" s="1946" customFormat="1" ht="30" customHeight="1" x14ac:dyDescent="0.2">
      <c r="A24" s="764">
        <v>14</v>
      </c>
      <c r="B24" s="768" t="s">
        <v>475</v>
      </c>
      <c r="C24" s="1950">
        <v>26619</v>
      </c>
      <c r="D24" s="1950">
        <f>SUM(D10:D23)</f>
        <v>42263</v>
      </c>
      <c r="E24" s="1950">
        <f>SUM(E10:E11)</f>
        <v>0</v>
      </c>
      <c r="F24" s="1951">
        <f>SUM(F10:F11)</f>
        <v>0</v>
      </c>
    </row>
    <row r="25" spans="1:6" s="1946" customFormat="1" ht="30" customHeight="1" x14ac:dyDescent="0.2">
      <c r="A25" s="764">
        <v>15</v>
      </c>
      <c r="B25" s="768" t="s">
        <v>476</v>
      </c>
      <c r="C25" s="1950">
        <v>0</v>
      </c>
      <c r="D25" s="1950">
        <v>0</v>
      </c>
      <c r="E25" s="1950">
        <v>0</v>
      </c>
      <c r="F25" s="1951">
        <v>0</v>
      </c>
    </row>
    <row r="26" spans="1:6" s="1946" customFormat="1" ht="30" customHeight="1" x14ac:dyDescent="0.2">
      <c r="A26" s="764">
        <v>16</v>
      </c>
      <c r="B26" s="768" t="s">
        <v>477</v>
      </c>
      <c r="C26" s="1950">
        <v>0</v>
      </c>
      <c r="D26" s="1950">
        <v>0</v>
      </c>
      <c r="E26" s="1950">
        <v>0</v>
      </c>
      <c r="F26" s="1951">
        <v>0</v>
      </c>
    </row>
    <row r="27" spans="1:6" s="1946" customFormat="1" ht="30" customHeight="1" thickBot="1" x14ac:dyDescent="0.25">
      <c r="A27" s="765">
        <v>17</v>
      </c>
      <c r="B27" s="769" t="s">
        <v>478</v>
      </c>
      <c r="C27" s="1952">
        <v>0</v>
      </c>
      <c r="D27" s="1952">
        <v>0</v>
      </c>
      <c r="E27" s="1952">
        <v>0</v>
      </c>
      <c r="F27" s="1953">
        <v>0</v>
      </c>
    </row>
    <row r="28" spans="1:6" s="1946" customFormat="1" ht="30.75" thickBot="1" x14ac:dyDescent="0.25">
      <c r="A28" s="766">
        <v>18</v>
      </c>
      <c r="B28" s="770" t="s">
        <v>479</v>
      </c>
      <c r="C28" s="1954">
        <f t="shared" ref="C28:D28" si="0">C27+C26+C25+C24</f>
        <v>26619</v>
      </c>
      <c r="D28" s="1954">
        <f t="shared" si="0"/>
        <v>42263</v>
      </c>
      <c r="E28" s="1954">
        <f t="shared" ref="E28" si="1">E27+E26+E25+E24</f>
        <v>0</v>
      </c>
      <c r="F28" s="1955">
        <f>F27+F26+F25+F24</f>
        <v>0</v>
      </c>
    </row>
    <row r="29" spans="1:6" s="1957" customFormat="1" x14ac:dyDescent="0.2">
      <c r="A29" s="1956"/>
      <c r="B29" s="1946"/>
      <c r="E29" s="1946"/>
      <c r="F29" s="1946"/>
    </row>
  </sheetData>
  <mergeCells count="5">
    <mergeCell ref="A3:E3"/>
    <mergeCell ref="A1:F1"/>
    <mergeCell ref="A2:F2"/>
    <mergeCell ref="A4:F4"/>
    <mergeCell ref="A8:F8"/>
  </mergeCells>
  <pageMargins left="0.7" right="0.7" top="0.75" bottom="0.75" header="0.3" footer="0.3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theme="2" tint="-0.499984740745262"/>
    <pageSetUpPr fitToPage="1"/>
  </sheetPr>
  <dimension ref="A1:O35"/>
  <sheetViews>
    <sheetView view="pageBreakPreview" zoomScaleSheetLayoutView="100" workbookViewId="0">
      <selection activeCell="U12" sqref="U12"/>
    </sheetView>
  </sheetViews>
  <sheetFormatPr defaultRowHeight="15" x14ac:dyDescent="0.25"/>
  <cols>
    <col min="1" max="1" width="55" style="1" customWidth="1"/>
    <col min="2" max="2" width="39" style="1" bestFit="1" customWidth="1"/>
    <col min="3" max="3" width="15.7109375" style="1" customWidth="1"/>
    <col min="4" max="4" width="14" style="1" customWidth="1"/>
    <col min="5" max="5" width="10.85546875" style="1" customWidth="1"/>
    <col min="6" max="6" width="14" style="1" customWidth="1"/>
    <col min="7" max="7" width="15.140625" style="1" customWidth="1"/>
    <col min="8" max="8" width="12.28515625" style="1" customWidth="1"/>
    <col min="9" max="9" width="12.85546875" style="1" customWidth="1"/>
    <col min="10" max="10" width="12.140625" style="1" customWidth="1"/>
    <col min="11" max="11" width="13.28515625" style="1" customWidth="1"/>
    <col min="12" max="12" width="14.140625" style="1" customWidth="1"/>
    <col min="13" max="14" width="10.140625" style="1" hidden="1" customWidth="1"/>
    <col min="15" max="16" width="0" style="1" hidden="1" customWidth="1"/>
    <col min="17" max="16384" width="9.140625" style="1"/>
  </cols>
  <sheetData>
    <row r="1" spans="1:15" ht="21" customHeight="1" x14ac:dyDescent="0.3">
      <c r="A1" s="1909"/>
      <c r="B1" s="1909"/>
      <c r="C1" s="1909"/>
      <c r="D1" s="1909"/>
      <c r="E1" s="1909"/>
      <c r="F1" s="1909"/>
      <c r="G1" s="1909"/>
      <c r="H1" s="1909"/>
      <c r="I1" s="1909"/>
      <c r="J1" s="1909"/>
      <c r="K1" s="1909"/>
      <c r="L1" s="1909"/>
      <c r="M1" s="513">
        <v>0</v>
      </c>
      <c r="N1" s="516" t="s">
        <v>743</v>
      </c>
      <c r="O1" s="1">
        <v>-0.32800000000000001</v>
      </c>
    </row>
    <row r="2" spans="1:15" ht="21" customHeight="1" x14ac:dyDescent="0.3">
      <c r="A2" s="1909"/>
      <c r="B2" s="1909"/>
      <c r="C2" s="1909"/>
      <c r="D2" s="1909"/>
      <c r="E2" s="1909"/>
      <c r="F2" s="1909"/>
      <c r="G2" s="1909"/>
      <c r="H2" s="1909"/>
      <c r="I2" s="1909"/>
      <c r="J2" s="1909"/>
      <c r="K2" s="1909"/>
      <c r="L2" s="1909"/>
      <c r="M2" s="512">
        <v>1.4999999999999999E-2</v>
      </c>
      <c r="N2" s="514" t="s">
        <v>742</v>
      </c>
    </row>
    <row r="3" spans="1:15" ht="23.25" customHeight="1" x14ac:dyDescent="0.3">
      <c r="A3" s="1909"/>
      <c r="B3" s="1909"/>
      <c r="C3" s="1909"/>
      <c r="D3" s="1909"/>
      <c r="E3" s="1909"/>
      <c r="F3" s="1909"/>
      <c r="G3" s="1909"/>
      <c r="H3" s="1909"/>
      <c r="I3" s="1909"/>
      <c r="J3" s="1909"/>
      <c r="K3" s="1909"/>
      <c r="L3" s="1909"/>
      <c r="M3" s="515">
        <v>42370</v>
      </c>
    </row>
    <row r="4" spans="1:15" ht="18.75" x14ac:dyDescent="0.3">
      <c r="A4" s="1837" t="str">
        <f>Tartalomjegyzék_2018!A1</f>
        <v>Pilisvörösvár Város Önkormányzata Képviselő-testületének 2/2018. (II. 9.) önkormányzati rendelete</v>
      </c>
      <c r="B4" s="1837"/>
      <c r="C4" s="1837"/>
      <c r="D4" s="1837"/>
      <c r="E4" s="1837"/>
      <c r="F4" s="1837"/>
      <c r="G4" s="1837"/>
      <c r="H4" s="1837"/>
      <c r="I4" s="1837"/>
      <c r="J4" s="1837"/>
      <c r="K4" s="1837"/>
      <c r="L4" s="1837"/>
      <c r="N4" s="588">
        <f>M1+M2+1.25%</f>
        <v>2.75E-2</v>
      </c>
    </row>
    <row r="5" spans="1:15" ht="18.75" x14ac:dyDescent="0.3">
      <c r="A5" s="1837" t="str">
        <f>Tartalomjegyzék_2018!A2</f>
        <v>az Önkormányzat  2018. évi költségvetéséről</v>
      </c>
      <c r="B5" s="1837"/>
      <c r="C5" s="1837"/>
      <c r="D5" s="1837"/>
      <c r="E5" s="1837"/>
      <c r="F5" s="1837"/>
      <c r="G5" s="1837"/>
      <c r="H5" s="1837"/>
      <c r="I5" s="1837"/>
      <c r="J5" s="1837"/>
      <c r="K5" s="1837"/>
      <c r="L5" s="1837"/>
    </row>
    <row r="6" spans="1:15" ht="18.75" x14ac:dyDescent="0.3">
      <c r="A6" s="580"/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</row>
    <row r="7" spans="1:15" ht="18" customHeight="1" x14ac:dyDescent="0.3">
      <c r="A7" s="1911" t="str">
        <f>Tartalomjegyzék_2018!B32</f>
        <v>Pilisvörösvár Város Önkormányzata több éves fejlesztési célú elkötelezettségei</v>
      </c>
      <c r="B7" s="1911"/>
      <c r="C7" s="1911"/>
      <c r="D7" s="1911"/>
      <c r="E7" s="1911"/>
      <c r="F7" s="1911"/>
      <c r="G7" s="1911"/>
      <c r="H7" s="1911"/>
      <c r="I7" s="1911"/>
      <c r="J7" s="1911"/>
      <c r="K7" s="1911"/>
      <c r="L7" s="1911"/>
      <c r="M7" s="198"/>
      <c r="N7" s="198"/>
      <c r="O7" s="198"/>
    </row>
    <row r="8" spans="1:15" ht="18" customHeight="1" x14ac:dyDescent="0.3">
      <c r="A8" s="744"/>
      <c r="B8" s="744"/>
      <c r="C8" s="744"/>
      <c r="D8" s="744"/>
      <c r="E8" s="744"/>
      <c r="F8" s="744"/>
      <c r="G8" s="744"/>
      <c r="H8" s="744"/>
      <c r="I8" s="744"/>
      <c r="J8" s="744"/>
      <c r="K8" s="744"/>
      <c r="L8" s="714" t="s">
        <v>870</v>
      </c>
      <c r="M8" s="198"/>
      <c r="N8" s="198"/>
      <c r="O8" s="198"/>
    </row>
    <row r="9" spans="1:15" ht="10.5" customHeight="1" x14ac:dyDescent="0.3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714"/>
      <c r="M9" s="198"/>
      <c r="N9" s="198"/>
      <c r="O9" s="198"/>
    </row>
    <row r="10" spans="1:15" ht="18.75" x14ac:dyDescent="0.3">
      <c r="A10" s="2"/>
      <c r="B10" s="2"/>
      <c r="C10" s="2"/>
      <c r="L10" s="714" t="s">
        <v>329</v>
      </c>
    </row>
    <row r="11" spans="1:15" s="10" customFormat="1" ht="47.25" x14ac:dyDescent="0.25">
      <c r="A11" s="9" t="s">
        <v>455</v>
      </c>
      <c r="B11" s="9" t="s">
        <v>482</v>
      </c>
      <c r="C11" s="9" t="s">
        <v>669</v>
      </c>
      <c r="D11" s="9" t="s">
        <v>456</v>
      </c>
      <c r="E11" s="9" t="s">
        <v>457</v>
      </c>
      <c r="F11" s="9" t="s">
        <v>966</v>
      </c>
      <c r="G11" s="745" t="s">
        <v>485</v>
      </c>
      <c r="H11" s="745" t="s">
        <v>725</v>
      </c>
      <c r="I11" s="745" t="s">
        <v>873</v>
      </c>
      <c r="J11" s="745" t="s">
        <v>964</v>
      </c>
      <c r="K11" s="745" t="s">
        <v>965</v>
      </c>
      <c r="L11" s="745" t="s">
        <v>450</v>
      </c>
    </row>
    <row r="12" spans="1:15" s="5" customFormat="1" ht="22.5" customHeight="1" x14ac:dyDescent="0.25">
      <c r="A12" s="95" t="s">
        <v>458</v>
      </c>
      <c r="B12" s="95"/>
      <c r="C12" s="95"/>
      <c r="D12" s="95"/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f>SUM(E12:K12)</f>
        <v>0</v>
      </c>
    </row>
    <row r="13" spans="1:15" s="5" customFormat="1" ht="22.5" customHeight="1" x14ac:dyDescent="0.25">
      <c r="A13" s="11" t="s">
        <v>807</v>
      </c>
      <c r="B13" s="11" t="s">
        <v>484</v>
      </c>
      <c r="C13" s="12">
        <v>13550</v>
      </c>
      <c r="D13" s="197">
        <v>2013</v>
      </c>
      <c r="E13" s="12">
        <f>2839+151+1320+1320</f>
        <v>5630</v>
      </c>
      <c r="F13" s="12">
        <f>13550-2839-151-1320-1320</f>
        <v>7920</v>
      </c>
      <c r="G13" s="12">
        <f>329988*4/1000</f>
        <v>1319.952</v>
      </c>
      <c r="H13" s="12">
        <f t="shared" ref="H13:J13" si="0">329988*4/1000</f>
        <v>1319.952</v>
      </c>
      <c r="I13" s="12">
        <f t="shared" si="0"/>
        <v>1319.952</v>
      </c>
      <c r="J13" s="12">
        <f t="shared" si="0"/>
        <v>1319.952</v>
      </c>
      <c r="K13" s="12">
        <f>5280-1320-1320</f>
        <v>2640</v>
      </c>
      <c r="L13" s="12">
        <f>E13+SUM(G13:K13)</f>
        <v>13549.808000000001</v>
      </c>
    </row>
    <row r="14" spans="1:15" s="5" customFormat="1" ht="22.5" customHeight="1" x14ac:dyDescent="0.25">
      <c r="A14" s="196" t="s">
        <v>749</v>
      </c>
      <c r="B14" s="11"/>
      <c r="C14" s="11"/>
      <c r="D14" s="11"/>
      <c r="E14" s="12">
        <v>453</v>
      </c>
      <c r="F14" s="12">
        <f>SUM(G14:K14)</f>
        <v>3680.4079200000001</v>
      </c>
      <c r="G14" s="12">
        <f>F13*N4</f>
        <v>217.8</v>
      </c>
      <c r="H14" s="12">
        <f>($F$13-G13)*N4</f>
        <v>181.50131999999999</v>
      </c>
      <c r="I14" s="12">
        <f>($F$13-SUM(G13:H13))*N4</f>
        <v>145.20264</v>
      </c>
      <c r="J14" s="65">
        <f>($F$13-SUM(G13:I13))*N4</f>
        <v>108.90396000000001</v>
      </c>
      <c r="K14" s="12">
        <v>3027</v>
      </c>
      <c r="L14" s="12">
        <f>E14+SUM(G14:K14)</f>
        <v>4133.4079199999996</v>
      </c>
    </row>
    <row r="15" spans="1:15" s="5" customFormat="1" ht="22.5" customHeight="1" x14ac:dyDescent="0.25">
      <c r="A15" s="11" t="s">
        <v>483</v>
      </c>
      <c r="B15" s="11"/>
      <c r="C15" s="12"/>
      <c r="D15" s="11"/>
      <c r="E15" s="12"/>
      <c r="F15" s="12"/>
      <c r="G15" s="12">
        <v>0</v>
      </c>
      <c r="H15" s="12">
        <v>0</v>
      </c>
      <c r="I15" s="12">
        <v>0</v>
      </c>
      <c r="J15" s="65">
        <v>0</v>
      </c>
      <c r="K15" s="12">
        <v>0</v>
      </c>
      <c r="L15" s="12">
        <f>E15+SUM(G15:K15)</f>
        <v>0</v>
      </c>
      <c r="M15" s="5" t="s">
        <v>874</v>
      </c>
    </row>
    <row r="16" spans="1:15" s="5" customFormat="1" ht="22.5" customHeight="1" x14ac:dyDescent="0.25">
      <c r="A16" s="95" t="s">
        <v>459</v>
      </c>
      <c r="B16" s="95"/>
      <c r="C16" s="95"/>
      <c r="D16" s="95"/>
      <c r="E16" s="96">
        <f t="shared" ref="E16:L16" si="1">E13+E15</f>
        <v>5630</v>
      </c>
      <c r="F16" s="96">
        <f t="shared" si="1"/>
        <v>7920</v>
      </c>
      <c r="G16" s="96">
        <f t="shared" si="1"/>
        <v>1319.952</v>
      </c>
      <c r="H16" s="96">
        <f t="shared" si="1"/>
        <v>1319.952</v>
      </c>
      <c r="I16" s="96">
        <f t="shared" si="1"/>
        <v>1319.952</v>
      </c>
      <c r="J16" s="96">
        <f t="shared" si="1"/>
        <v>1319.952</v>
      </c>
      <c r="K16" s="96">
        <f t="shared" si="1"/>
        <v>2640</v>
      </c>
      <c r="L16" s="96">
        <f t="shared" si="1"/>
        <v>13549.808000000001</v>
      </c>
    </row>
    <row r="17" spans="1:13" s="5" customFormat="1" ht="22.5" customHeight="1" x14ac:dyDescent="0.25">
      <c r="A17" s="191" t="s">
        <v>565</v>
      </c>
      <c r="B17" s="191"/>
      <c r="C17" s="191"/>
      <c r="D17" s="191"/>
      <c r="E17" s="192">
        <f t="shared" ref="E17:K17" si="2">E14</f>
        <v>453</v>
      </c>
      <c r="F17" s="192">
        <f>F14</f>
        <v>3680.4079200000001</v>
      </c>
      <c r="G17" s="192">
        <f t="shared" si="2"/>
        <v>217.8</v>
      </c>
      <c r="H17" s="192">
        <f t="shared" si="2"/>
        <v>181.50131999999999</v>
      </c>
      <c r="I17" s="192">
        <f t="shared" si="2"/>
        <v>145.20264</v>
      </c>
      <c r="J17" s="192">
        <f t="shared" si="2"/>
        <v>108.90396000000001</v>
      </c>
      <c r="K17" s="192">
        <f t="shared" si="2"/>
        <v>3027</v>
      </c>
      <c r="L17" s="192">
        <f>SUM(L14)</f>
        <v>4133.4079199999996</v>
      </c>
    </row>
    <row r="18" spans="1:13" s="5" customFormat="1" ht="22.5" customHeight="1" x14ac:dyDescent="0.25">
      <c r="A18" s="191" t="s">
        <v>460</v>
      </c>
      <c r="B18" s="191"/>
      <c r="C18" s="191"/>
      <c r="D18" s="191"/>
      <c r="E18" s="192">
        <f>E16+E17</f>
        <v>6083</v>
      </c>
      <c r="F18" s="192">
        <f t="shared" ref="F18:L18" si="3">F16+F17</f>
        <v>11600.40792</v>
      </c>
      <c r="G18" s="192">
        <f t="shared" si="3"/>
        <v>1537.752</v>
      </c>
      <c r="H18" s="192">
        <f t="shared" si="3"/>
        <v>1501.4533200000001</v>
      </c>
      <c r="I18" s="192">
        <f t="shared" si="3"/>
        <v>1465.15464</v>
      </c>
      <c r="J18" s="192">
        <f t="shared" si="3"/>
        <v>1428.8559600000001</v>
      </c>
      <c r="K18" s="192">
        <f t="shared" si="3"/>
        <v>5667</v>
      </c>
      <c r="L18" s="192">
        <f t="shared" si="3"/>
        <v>17683.215920000002</v>
      </c>
    </row>
    <row r="19" spans="1:13" s="5" customFormat="1" ht="22.5" customHeight="1" x14ac:dyDescent="0.25">
      <c r="A19" s="193" t="s">
        <v>461</v>
      </c>
      <c r="B19" s="193"/>
      <c r="C19" s="193"/>
      <c r="D19" s="194"/>
      <c r="E19" s="195">
        <f>E18+E12</f>
        <v>6083</v>
      </c>
      <c r="F19" s="195">
        <f t="shared" ref="F19:L19" si="4">F18+F12</f>
        <v>11600.40792</v>
      </c>
      <c r="G19" s="195">
        <f t="shared" si="4"/>
        <v>1537.752</v>
      </c>
      <c r="H19" s="195">
        <f t="shared" si="4"/>
        <v>1501.4533200000001</v>
      </c>
      <c r="I19" s="195">
        <f t="shared" si="4"/>
        <v>1465.15464</v>
      </c>
      <c r="J19" s="195">
        <f t="shared" si="4"/>
        <v>1428.8559600000001</v>
      </c>
      <c r="K19" s="195">
        <f t="shared" si="4"/>
        <v>5667</v>
      </c>
      <c r="L19" s="195">
        <f t="shared" si="4"/>
        <v>17683.215920000002</v>
      </c>
    </row>
    <row r="20" spans="1:13" s="5" customFormat="1" ht="22.5" customHeight="1" x14ac:dyDescent="0.25">
      <c r="A20" s="1910" t="s">
        <v>677</v>
      </c>
      <c r="B20" s="1910"/>
      <c r="C20" s="1910"/>
      <c r="D20" s="1910"/>
      <c r="E20" s="1910"/>
      <c r="F20" s="1910"/>
      <c r="G20" s="1910"/>
      <c r="H20" s="1910"/>
      <c r="I20" s="1910"/>
      <c r="J20" s="1910"/>
      <c r="K20" s="1910"/>
      <c r="L20" s="1910"/>
      <c r="M20" s="187"/>
    </row>
    <row r="21" spans="1:13" s="5" customFormat="1" ht="22.5" customHeight="1" x14ac:dyDescent="0.25">
      <c r="A21" s="669" t="s">
        <v>676</v>
      </c>
      <c r="B21" s="189"/>
      <c r="C21" s="186"/>
      <c r="D21" s="190"/>
      <c r="E21" s="186"/>
      <c r="F21" s="186"/>
      <c r="G21" s="1440">
        <f>H32</f>
        <v>317790.5</v>
      </c>
      <c r="H21" s="1440">
        <f>G21*(1+$I$25)</f>
        <v>325417.47200000001</v>
      </c>
      <c r="I21" s="1440">
        <f t="shared" ref="I21:J21" si="5">H21*(1+$I$25)</f>
        <v>333227.49132800003</v>
      </c>
      <c r="J21" s="1440">
        <f t="shared" si="5"/>
        <v>341224.95111987204</v>
      </c>
      <c r="K21" s="188"/>
      <c r="L21" s="188"/>
      <c r="M21" s="188"/>
    </row>
    <row r="22" spans="1:13" ht="22.5" customHeight="1" x14ac:dyDescent="0.25"/>
    <row r="23" spans="1:13" ht="22.5" hidden="1" customHeight="1" x14ac:dyDescent="0.25">
      <c r="A23" s="94"/>
    </row>
    <row r="24" spans="1:13" hidden="1" x14ac:dyDescent="0.25">
      <c r="D24" s="91"/>
      <c r="E24" s="91"/>
      <c r="F24" s="91"/>
      <c r="G24" s="91"/>
      <c r="H24" s="92"/>
      <c r="I24" s="92"/>
      <c r="J24" s="92"/>
    </row>
    <row r="25" spans="1:13" hidden="1" x14ac:dyDescent="0.25">
      <c r="B25" s="370" t="s">
        <v>4</v>
      </c>
      <c r="C25" s="371"/>
      <c r="D25" s="371"/>
      <c r="E25" s="371"/>
      <c r="F25" s="371"/>
      <c r="G25" s="372"/>
      <c r="H25" s="373">
        <f>'15. Működési bev. (B3,B4)'!E9+'15. Működési bev. (B3,B4)'!E10+'15. Működési bev. (B3,B4)'!E12</f>
        <v>616500</v>
      </c>
      <c r="I25" s="570">
        <v>2.4E-2</v>
      </c>
      <c r="J25" s="571" t="s">
        <v>763</v>
      </c>
    </row>
    <row r="26" spans="1:13" hidden="1" x14ac:dyDescent="0.25">
      <c r="B26" s="370" t="s">
        <v>5</v>
      </c>
      <c r="C26" s="371"/>
      <c r="D26" s="371"/>
      <c r="E26" s="371"/>
      <c r="F26" s="371"/>
      <c r="G26" s="372"/>
      <c r="H26" s="373">
        <f>'2.Bevételek_részletes'!D26</f>
        <v>15000</v>
      </c>
      <c r="I26" s="93"/>
      <c r="J26" s="93"/>
    </row>
    <row r="27" spans="1:13" hidden="1" x14ac:dyDescent="0.25">
      <c r="B27" s="370" t="s">
        <v>6</v>
      </c>
      <c r="C27" s="371"/>
      <c r="D27" s="371"/>
      <c r="E27" s="371"/>
      <c r="F27" s="371"/>
      <c r="G27" s="372"/>
      <c r="H27" s="373"/>
    </row>
    <row r="28" spans="1:13" hidden="1" x14ac:dyDescent="0.25">
      <c r="B28" s="370" t="s">
        <v>7</v>
      </c>
      <c r="C28" s="371"/>
      <c r="D28" s="371"/>
      <c r="E28" s="371"/>
      <c r="F28" s="371"/>
      <c r="G28" s="372"/>
      <c r="H28" s="373">
        <f>'2.Bevételek_részletes'!D27</f>
        <v>750</v>
      </c>
    </row>
    <row r="29" spans="1:13" hidden="1" x14ac:dyDescent="0.25">
      <c r="B29" s="370" t="s">
        <v>8</v>
      </c>
      <c r="C29" s="371"/>
      <c r="D29" s="371"/>
      <c r="E29" s="371"/>
      <c r="F29" s="371"/>
      <c r="G29" s="372"/>
      <c r="H29" s="373">
        <f>'15. Működési bev. (B3,B4)'!E16+'15. Működési bev. (B3,B4)'!E17+'15. Működési bev. (B3,B4)'!G15</f>
        <v>3331</v>
      </c>
    </row>
    <row r="30" spans="1:13" hidden="1" x14ac:dyDescent="0.25">
      <c r="B30" s="370" t="s">
        <v>9</v>
      </c>
      <c r="C30" s="371"/>
      <c r="D30" s="371"/>
      <c r="E30" s="371"/>
      <c r="F30" s="371"/>
      <c r="G30" s="372"/>
      <c r="H30" s="373"/>
    </row>
    <row r="31" spans="1:13" hidden="1" x14ac:dyDescent="0.25">
      <c r="B31" s="374" t="s">
        <v>450</v>
      </c>
      <c r="C31" s="371"/>
      <c r="D31" s="371"/>
      <c r="E31" s="371"/>
      <c r="F31" s="371"/>
      <c r="G31" s="372"/>
      <c r="H31" s="373">
        <f>SUM(H25:H30)</f>
        <v>635581</v>
      </c>
      <c r="I31" s="962">
        <f>'15. Működési bev. (B3,B4)'!D11</f>
        <v>51000</v>
      </c>
      <c r="J31" s="962">
        <f>H31+I31</f>
        <v>686581</v>
      </c>
    </row>
    <row r="32" spans="1:13" hidden="1" x14ac:dyDescent="0.25">
      <c r="B32" s="375"/>
      <c r="C32" s="375"/>
      <c r="D32" s="375"/>
      <c r="E32" s="375"/>
      <c r="F32" s="375"/>
      <c r="G32" s="376"/>
      <c r="H32" s="377">
        <f>H31/2</f>
        <v>317790.5</v>
      </c>
    </row>
    <row r="33" hidden="1" x14ac:dyDescent="0.25"/>
    <row r="34" hidden="1" x14ac:dyDescent="0.25"/>
    <row r="35" hidden="1" x14ac:dyDescent="0.25"/>
  </sheetData>
  <mergeCells count="7">
    <mergeCell ref="A1:L1"/>
    <mergeCell ref="A3:L3"/>
    <mergeCell ref="A2:L2"/>
    <mergeCell ref="A20:L20"/>
    <mergeCell ref="A4:L4"/>
    <mergeCell ref="A5:L5"/>
    <mergeCell ref="A7:L7"/>
  </mergeCells>
  <phoneticPr fontId="57" type="noConversion"/>
  <pageMargins left="0.26" right="0.28000000000000003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pageSetUpPr fitToPage="1"/>
  </sheetPr>
  <dimension ref="A1:K175"/>
  <sheetViews>
    <sheetView view="pageBreakPreview" zoomScale="80" zoomScaleNormal="80" zoomScaleSheetLayoutView="80" workbookViewId="0">
      <selection sqref="A1:G1"/>
    </sheetView>
  </sheetViews>
  <sheetFormatPr defaultColWidth="7.140625" defaultRowHeight="12.75" x14ac:dyDescent="0.2"/>
  <cols>
    <col min="1" max="1" width="87.28515625" style="67" customWidth="1"/>
    <col min="2" max="2" width="26.28515625" style="67" customWidth="1"/>
    <col min="3" max="3" width="25.28515625" style="806" bestFit="1" customWidth="1"/>
    <col min="4" max="4" width="18.140625" style="67" customWidth="1"/>
    <col min="5" max="5" width="15.85546875" style="67" customWidth="1"/>
    <col min="6" max="6" width="22.5703125" style="67" customWidth="1"/>
    <col min="7" max="7" width="21" style="67" customWidth="1"/>
    <col min="8" max="8" width="15" style="67" customWidth="1"/>
    <col min="9" max="9" width="10" style="67" bestFit="1" customWidth="1"/>
    <col min="10" max="10" width="8.7109375" style="67" bestFit="1" customWidth="1"/>
    <col min="11" max="16384" width="7.140625" style="67"/>
  </cols>
  <sheetData>
    <row r="1" spans="1:11" ht="22.5" x14ac:dyDescent="0.3">
      <c r="A1" s="1915" t="str">
        <f>Tartalomjegyzék_2018!A1</f>
        <v>Pilisvörösvár Város Önkormányzata Képviselő-testületének 2/2018. (II. 9.) önkormányzati rendelete</v>
      </c>
      <c r="B1" s="1915"/>
      <c r="C1" s="1915"/>
      <c r="D1" s="1915"/>
      <c r="E1" s="1915"/>
      <c r="F1" s="1915"/>
      <c r="G1" s="1915"/>
      <c r="H1" s="587"/>
      <c r="I1" s="201"/>
      <c r="J1" s="66"/>
      <c r="K1" s="66"/>
    </row>
    <row r="2" spans="1:11" ht="22.5" x14ac:dyDescent="0.3">
      <c r="A2" s="1915" t="str">
        <f>Tartalomjegyzék_2018!A2</f>
        <v>az Önkormányzat  2018. évi költségvetéséről</v>
      </c>
      <c r="B2" s="1915"/>
      <c r="C2" s="1915"/>
      <c r="D2" s="1915"/>
      <c r="E2" s="1915"/>
      <c r="F2" s="1915"/>
      <c r="G2" s="1915"/>
      <c r="H2" s="587"/>
      <c r="I2" s="202"/>
    </row>
    <row r="3" spans="1:11" ht="17.25" customHeight="1" x14ac:dyDescent="0.3">
      <c r="A3" s="1042"/>
      <c r="B3" s="1384"/>
      <c r="C3" s="1043"/>
      <c r="D3" s="1042"/>
      <c r="E3" s="1042"/>
      <c r="F3" s="1042"/>
      <c r="G3" s="1042"/>
      <c r="H3" s="581"/>
      <c r="I3" s="202"/>
    </row>
    <row r="4" spans="1:11" ht="22.5" x14ac:dyDescent="0.3">
      <c r="A4" s="1917" t="str">
        <f>Tartalomjegyzék_2018!B33</f>
        <v>Pilisvörösvár Város Önkormányzata engedélyezett létszáma költségvetési szervenként</v>
      </c>
      <c r="B4" s="1917"/>
      <c r="C4" s="1917"/>
      <c r="D4" s="1917"/>
      <c r="E4" s="1917"/>
      <c r="F4" s="1917"/>
      <c r="G4" s="1917"/>
      <c r="H4" s="586"/>
      <c r="I4" s="202"/>
    </row>
    <row r="5" spans="1:11" ht="23.25" x14ac:dyDescent="0.3">
      <c r="A5" s="1160"/>
      <c r="B5" s="1385"/>
      <c r="C5" s="1160"/>
      <c r="D5" s="1160"/>
      <c r="E5" s="1160"/>
      <c r="F5" s="1160"/>
      <c r="G5" s="1163" t="s">
        <v>1044</v>
      </c>
      <c r="H5" s="586"/>
      <c r="I5" s="202"/>
    </row>
    <row r="6" spans="1:11" ht="28.5" customHeight="1" x14ac:dyDescent="0.3">
      <c r="A6" s="712"/>
      <c r="B6" s="712"/>
      <c r="C6" s="807"/>
      <c r="D6" s="712"/>
      <c r="E6" s="712"/>
      <c r="F6" s="712"/>
      <c r="G6" s="1164"/>
      <c r="H6" s="586"/>
      <c r="I6" s="202"/>
    </row>
    <row r="7" spans="1:11" s="69" customFormat="1" ht="18.75" customHeight="1" x14ac:dyDescent="0.2">
      <c r="A7" s="204"/>
      <c r="B7" s="204"/>
      <c r="C7" s="802"/>
      <c r="D7" s="205"/>
      <c r="E7" s="205"/>
      <c r="F7" s="206"/>
      <c r="G7" s="670"/>
      <c r="H7" s="207"/>
      <c r="I7" s="208"/>
      <c r="K7" s="70"/>
    </row>
    <row r="8" spans="1:11" s="71" customFormat="1" ht="22.5" x14ac:dyDescent="0.3">
      <c r="A8" s="1918" t="s">
        <v>566</v>
      </c>
      <c r="B8" s="1912" t="s">
        <v>1136</v>
      </c>
      <c r="C8" s="1913" t="s">
        <v>1057</v>
      </c>
      <c r="D8" s="1914"/>
      <c r="E8" s="1914"/>
      <c r="F8" s="1914"/>
      <c r="G8" s="1914"/>
      <c r="H8" s="209"/>
      <c r="I8" s="949"/>
      <c r="K8" s="72"/>
    </row>
    <row r="9" spans="1:11" s="71" customFormat="1" ht="78.75" customHeight="1" x14ac:dyDescent="0.3">
      <c r="A9" s="1919"/>
      <c r="B9" s="1833"/>
      <c r="C9" s="808" t="s">
        <v>567</v>
      </c>
      <c r="D9" s="808" t="s">
        <v>568</v>
      </c>
      <c r="E9" s="808" t="s">
        <v>569</v>
      </c>
      <c r="F9" s="801" t="s">
        <v>1138</v>
      </c>
      <c r="G9" s="808" t="s">
        <v>901</v>
      </c>
      <c r="H9" s="209"/>
      <c r="I9" s="949"/>
      <c r="K9" s="72"/>
    </row>
    <row r="10" spans="1:11" s="71" customFormat="1" ht="23.25" x14ac:dyDescent="0.3">
      <c r="A10" s="1469" t="s">
        <v>726</v>
      </c>
      <c r="B10" s="1470">
        <v>7</v>
      </c>
      <c r="C10" s="1471">
        <v>5</v>
      </c>
      <c r="D10" s="1472">
        <v>2</v>
      </c>
      <c r="E10" s="1471">
        <f>SUM(C10:D10)</f>
        <v>7</v>
      </c>
      <c r="F10" s="1471">
        <v>0</v>
      </c>
      <c r="G10" s="1471">
        <v>0</v>
      </c>
      <c r="H10" s="209"/>
      <c r="I10" s="949"/>
      <c r="K10" s="72"/>
    </row>
    <row r="11" spans="1:11" s="503" customFormat="1" ht="23.25" x14ac:dyDescent="0.2">
      <c r="A11" s="1473" t="s">
        <v>570</v>
      </c>
      <c r="B11" s="1474">
        <v>44.5</v>
      </c>
      <c r="C11" s="1471">
        <v>25</v>
      </c>
      <c r="D11" s="1472">
        <v>19.5</v>
      </c>
      <c r="E11" s="1471">
        <f>SUM(C11:D11)</f>
        <v>44.5</v>
      </c>
      <c r="F11" s="1471">
        <v>2</v>
      </c>
      <c r="G11" s="1471">
        <v>0</v>
      </c>
      <c r="H11" s="502"/>
      <c r="I11" s="950"/>
      <c r="K11" s="504"/>
    </row>
    <row r="12" spans="1:11" s="503" customFormat="1" ht="23.25" x14ac:dyDescent="0.2">
      <c r="A12" s="1473" t="s">
        <v>571</v>
      </c>
      <c r="B12" s="1474">
        <v>36.5</v>
      </c>
      <c r="C12" s="1471">
        <v>21</v>
      </c>
      <c r="D12" s="1472">
        <f>16.5-1</f>
        <v>15.5</v>
      </c>
      <c r="E12" s="1471">
        <f>SUM(C12:D12)</f>
        <v>36.5</v>
      </c>
      <c r="F12" s="1471">
        <v>2</v>
      </c>
      <c r="G12" s="1471">
        <v>0</v>
      </c>
      <c r="H12" s="502"/>
      <c r="I12" s="950"/>
      <c r="K12" s="504"/>
    </row>
    <row r="13" spans="1:11" s="503" customFormat="1" ht="23.25" x14ac:dyDescent="0.2">
      <c r="A13" s="1473" t="s">
        <v>572</v>
      </c>
      <c r="B13" s="1474">
        <v>13.5</v>
      </c>
      <c r="C13" s="1471">
        <v>6.5</v>
      </c>
      <c r="D13" s="1472">
        <f>6.5+0.5</f>
        <v>7</v>
      </c>
      <c r="E13" s="1471">
        <f>SUM(C13:D13)</f>
        <v>13.5</v>
      </c>
      <c r="F13" s="1471">
        <v>0</v>
      </c>
      <c r="G13" s="1471">
        <v>0</v>
      </c>
      <c r="H13" s="502"/>
      <c r="I13" s="950"/>
      <c r="K13" s="504"/>
    </row>
    <row r="14" spans="1:11" s="503" customFormat="1" ht="22.5" x14ac:dyDescent="0.2">
      <c r="A14" s="1473" t="s">
        <v>573</v>
      </c>
      <c r="B14" s="1475">
        <f>SUM(B10:B13)</f>
        <v>101.5</v>
      </c>
      <c r="C14" s="1475">
        <f>SUM(C10:C13)</f>
        <v>57.5</v>
      </c>
      <c r="D14" s="1475">
        <f t="shared" ref="D14:G14" si="0">SUM(D10:D13)</f>
        <v>44</v>
      </c>
      <c r="E14" s="1475">
        <f t="shared" si="0"/>
        <v>101.5</v>
      </c>
      <c r="F14" s="1475">
        <f t="shared" si="0"/>
        <v>4</v>
      </c>
      <c r="G14" s="1475">
        <f t="shared" si="0"/>
        <v>0</v>
      </c>
      <c r="H14" s="502"/>
      <c r="I14" s="950"/>
      <c r="J14" s="505"/>
      <c r="K14" s="504"/>
    </row>
    <row r="15" spans="1:11" s="71" customFormat="1" ht="32.25" customHeight="1" x14ac:dyDescent="0.3">
      <c r="A15" s="209"/>
      <c r="B15" s="209"/>
      <c r="C15" s="502"/>
      <c r="D15" s="209"/>
      <c r="E15" s="210"/>
      <c r="F15" s="210"/>
      <c r="G15" s="210"/>
      <c r="H15" s="210"/>
      <c r="I15" s="949"/>
      <c r="J15" s="73"/>
      <c r="K15" s="72"/>
    </row>
    <row r="16" spans="1:11" s="71" customFormat="1" ht="32.25" customHeight="1" x14ac:dyDescent="0.3">
      <c r="A16" s="209"/>
      <c r="B16" s="209"/>
      <c r="C16" s="502"/>
      <c r="D16" s="209"/>
      <c r="E16" s="210"/>
      <c r="F16" s="210"/>
      <c r="G16" s="210"/>
      <c r="H16" s="210"/>
      <c r="I16" s="949"/>
      <c r="J16" s="73"/>
      <c r="K16" s="72"/>
    </row>
    <row r="17" spans="1:11" s="71" customFormat="1" ht="22.5" x14ac:dyDescent="0.3">
      <c r="A17" s="1918" t="s">
        <v>574</v>
      </c>
      <c r="B17" s="1912" t="s">
        <v>1136</v>
      </c>
      <c r="C17" s="1913" t="s">
        <v>1057</v>
      </c>
      <c r="D17" s="1914"/>
      <c r="E17" s="1914"/>
      <c r="F17" s="1914"/>
      <c r="G17" s="1914"/>
      <c r="H17" s="210"/>
      <c r="I17" s="949"/>
      <c r="J17" s="73"/>
      <c r="K17" s="72"/>
    </row>
    <row r="18" spans="1:11" s="71" customFormat="1" ht="81" x14ac:dyDescent="0.3">
      <c r="A18" s="1919"/>
      <c r="B18" s="1833"/>
      <c r="C18" s="808" t="s">
        <v>575</v>
      </c>
      <c r="D18" s="808" t="s">
        <v>576</v>
      </c>
      <c r="E18" s="808" t="s">
        <v>569</v>
      </c>
      <c r="F18" s="801" t="s">
        <v>1138</v>
      </c>
      <c r="G18" s="808" t="s">
        <v>901</v>
      </c>
      <c r="H18" s="210"/>
      <c r="I18" s="949"/>
      <c r="J18" s="73"/>
      <c r="K18" s="72"/>
    </row>
    <row r="19" spans="1:11" s="503" customFormat="1" ht="23.25" x14ac:dyDescent="0.2">
      <c r="A19" s="1474" t="s">
        <v>574</v>
      </c>
      <c r="B19" s="1474">
        <v>5</v>
      </c>
      <c r="C19" s="1470">
        <v>5</v>
      </c>
      <c r="D19" s="1474">
        <v>0</v>
      </c>
      <c r="E19" s="1471">
        <f>C19+D19</f>
        <v>5</v>
      </c>
      <c r="F19" s="1471">
        <v>0</v>
      </c>
      <c r="G19" s="1471">
        <v>0</v>
      </c>
      <c r="H19" s="502"/>
      <c r="I19" s="950"/>
      <c r="J19" s="505"/>
      <c r="K19" s="504"/>
    </row>
    <row r="20" spans="1:11" s="71" customFormat="1" ht="32.25" customHeight="1" x14ac:dyDescent="0.3">
      <c r="A20" s="209"/>
      <c r="B20" s="209"/>
      <c r="C20" s="502"/>
      <c r="D20" s="209"/>
      <c r="E20" s="210"/>
      <c r="F20" s="210"/>
      <c r="G20" s="210"/>
      <c r="H20" s="210"/>
      <c r="I20" s="949"/>
      <c r="J20" s="73"/>
    </row>
    <row r="21" spans="1:11" s="71" customFormat="1" ht="22.5" customHeight="1" x14ac:dyDescent="0.3">
      <c r="A21" s="1918" t="s">
        <v>577</v>
      </c>
      <c r="B21" s="1912" t="s">
        <v>1136</v>
      </c>
      <c r="C21" s="1913" t="s">
        <v>1057</v>
      </c>
      <c r="D21" s="1914"/>
      <c r="E21" s="1914"/>
      <c r="F21" s="1914"/>
      <c r="G21" s="1914"/>
      <c r="H21" s="210"/>
      <c r="I21" s="951"/>
    </row>
    <row r="22" spans="1:11" s="71" customFormat="1" ht="81" x14ac:dyDescent="0.3">
      <c r="A22" s="1919"/>
      <c r="B22" s="1833"/>
      <c r="C22" s="808" t="s">
        <v>899</v>
      </c>
      <c r="D22" s="1441" t="s">
        <v>896</v>
      </c>
      <c r="E22" s="1441" t="s">
        <v>569</v>
      </c>
      <c r="F22" s="801" t="s">
        <v>1138</v>
      </c>
      <c r="G22" s="808" t="s">
        <v>901</v>
      </c>
      <c r="H22" s="210"/>
      <c r="I22" s="951"/>
    </row>
    <row r="23" spans="1:11" s="503" customFormat="1" ht="23.25" x14ac:dyDescent="0.2">
      <c r="A23" s="1476" t="s">
        <v>578</v>
      </c>
      <c r="B23" s="1477">
        <v>36</v>
      </c>
      <c r="C23" s="1477">
        <v>27</v>
      </c>
      <c r="D23" s="1478">
        <v>9</v>
      </c>
      <c r="E23" s="1477">
        <f>SUM(C23:D23)</f>
        <v>36</v>
      </c>
      <c r="F23" s="1477">
        <v>0</v>
      </c>
      <c r="G23" s="1471">
        <v>0</v>
      </c>
      <c r="H23" s="502"/>
      <c r="I23" s="952"/>
    </row>
    <row r="24" spans="1:11" s="503" customFormat="1" ht="23.25" x14ac:dyDescent="0.2">
      <c r="A24" s="1479" t="s">
        <v>579</v>
      </c>
      <c r="B24" s="1477">
        <v>6</v>
      </c>
      <c r="C24" s="1477">
        <v>6</v>
      </c>
      <c r="D24" s="1478">
        <v>0</v>
      </c>
      <c r="E24" s="1477">
        <f t="shared" ref="E24:E28" si="1">SUM(C24:D24)</f>
        <v>6</v>
      </c>
      <c r="F24" s="1477">
        <v>0</v>
      </c>
      <c r="G24" s="1471">
        <v>0</v>
      </c>
      <c r="H24" s="502"/>
      <c r="I24" s="953"/>
    </row>
    <row r="25" spans="1:11" s="503" customFormat="1" ht="23.25" x14ac:dyDescent="0.2">
      <c r="A25" s="1479" t="s">
        <v>893</v>
      </c>
      <c r="B25" s="1477">
        <v>1</v>
      </c>
      <c r="C25" s="1477">
        <v>1</v>
      </c>
      <c r="D25" s="1478">
        <v>0</v>
      </c>
      <c r="E25" s="1477">
        <f t="shared" ref="E25" si="2">SUM(C25:D25)</f>
        <v>1</v>
      </c>
      <c r="F25" s="1477">
        <v>0</v>
      </c>
      <c r="G25" s="1471">
        <v>0</v>
      </c>
      <c r="H25" s="502"/>
      <c r="I25" s="953"/>
    </row>
    <row r="26" spans="1:11" s="503" customFormat="1" ht="23.25" x14ac:dyDescent="0.2">
      <c r="A26" s="1480" t="s">
        <v>894</v>
      </c>
      <c r="B26" s="1477">
        <v>0</v>
      </c>
      <c r="C26" s="1477">
        <v>0</v>
      </c>
      <c r="D26" s="1478">
        <v>0</v>
      </c>
      <c r="E26" s="1477">
        <f t="shared" si="1"/>
        <v>0</v>
      </c>
      <c r="F26" s="1477">
        <v>2</v>
      </c>
      <c r="G26" s="1471">
        <v>0</v>
      </c>
      <c r="H26" s="502"/>
      <c r="I26" s="950"/>
      <c r="J26" s="505"/>
      <c r="K26" s="504"/>
    </row>
    <row r="27" spans="1:11" s="503" customFormat="1" ht="23.25" x14ac:dyDescent="0.2">
      <c r="A27" s="1481" t="s">
        <v>895</v>
      </c>
      <c r="B27" s="1477">
        <f>B23</f>
        <v>36</v>
      </c>
      <c r="C27" s="1477">
        <f>C23+C26</f>
        <v>27</v>
      </c>
      <c r="D27" s="1478">
        <f t="shared" ref="D27:G27" si="3">D23+D26</f>
        <v>9</v>
      </c>
      <c r="E27" s="1477">
        <f>E23+E26</f>
        <v>36</v>
      </c>
      <c r="F27" s="1477">
        <f t="shared" si="3"/>
        <v>2</v>
      </c>
      <c r="G27" s="1471">
        <f t="shared" si="3"/>
        <v>0</v>
      </c>
      <c r="H27" s="502"/>
      <c r="I27" s="950"/>
      <c r="J27" s="505"/>
      <c r="K27" s="504"/>
    </row>
    <row r="28" spans="1:11" s="503" customFormat="1" ht="23.25" x14ac:dyDescent="0.2">
      <c r="A28" s="1470" t="s">
        <v>897</v>
      </c>
      <c r="B28" s="1477">
        <v>10</v>
      </c>
      <c r="C28" s="1477">
        <v>10</v>
      </c>
      <c r="D28" s="1478">
        <v>0</v>
      </c>
      <c r="E28" s="1477">
        <f t="shared" si="1"/>
        <v>10</v>
      </c>
      <c r="F28" s="1477">
        <v>0</v>
      </c>
      <c r="G28" s="1471">
        <v>0</v>
      </c>
      <c r="H28" s="502"/>
      <c r="I28" s="950"/>
    </row>
    <row r="29" spans="1:11" s="503" customFormat="1" ht="22.5" x14ac:dyDescent="0.2">
      <c r="A29" s="1469" t="s">
        <v>898</v>
      </c>
      <c r="B29" s="1482">
        <f>SUM(B27:B28)</f>
        <v>46</v>
      </c>
      <c r="C29" s="1482">
        <f>SUM(C27:C28)</f>
        <v>37</v>
      </c>
      <c r="D29" s="1482">
        <f t="shared" ref="D29:G29" si="4">SUM(D27:D28)</f>
        <v>9</v>
      </c>
      <c r="E29" s="1482">
        <f t="shared" si="4"/>
        <v>46</v>
      </c>
      <c r="F29" s="1482">
        <f t="shared" si="4"/>
        <v>2</v>
      </c>
      <c r="G29" s="1475">
        <f t="shared" si="4"/>
        <v>0</v>
      </c>
      <c r="H29" s="502"/>
      <c r="I29" s="950"/>
    </row>
    <row r="30" spans="1:11" s="71" customFormat="1" ht="23.25" x14ac:dyDescent="0.35">
      <c r="A30" s="1483"/>
      <c r="B30" s="1484"/>
      <c r="C30" s="1484"/>
      <c r="D30" s="1485"/>
      <c r="E30" s="1483"/>
      <c r="F30" s="1483"/>
      <c r="G30" s="1483"/>
      <c r="H30" s="210"/>
      <c r="I30" s="949"/>
    </row>
    <row r="31" spans="1:11" s="810" customFormat="1" ht="22.5" x14ac:dyDescent="0.2">
      <c r="A31" s="1565" t="s">
        <v>580</v>
      </c>
      <c r="B31" s="1566">
        <f>B14+B19+B29</f>
        <v>152.5</v>
      </c>
      <c r="C31" s="1566">
        <f>C14+C19+C29</f>
        <v>99.5</v>
      </c>
      <c r="D31" s="1566">
        <f t="shared" ref="D31:G31" si="5">D14+D19+D29</f>
        <v>53</v>
      </c>
      <c r="E31" s="1566">
        <f t="shared" si="5"/>
        <v>152.5</v>
      </c>
      <c r="F31" s="1566">
        <f t="shared" si="5"/>
        <v>6</v>
      </c>
      <c r="G31" s="1566">
        <f t="shared" si="5"/>
        <v>0</v>
      </c>
      <c r="H31" s="809"/>
      <c r="I31" s="954"/>
    </row>
    <row r="32" spans="1:11" s="71" customFormat="1" ht="32.25" customHeight="1" x14ac:dyDescent="0.3">
      <c r="A32" s="211"/>
      <c r="B32" s="211"/>
      <c r="C32" s="1916"/>
      <c r="D32" s="1916"/>
      <c r="E32" s="1916"/>
      <c r="F32" s="214"/>
      <c r="G32" s="1916"/>
      <c r="H32" s="1916"/>
      <c r="I32" s="1916"/>
    </row>
    <row r="33" spans="1:11" s="71" customFormat="1" ht="32.25" customHeight="1" x14ac:dyDescent="0.3">
      <c r="A33" s="212"/>
      <c r="B33" s="212"/>
      <c r="C33" s="1916"/>
      <c r="D33" s="1916"/>
      <c r="E33" s="1916"/>
      <c r="F33" s="1916"/>
      <c r="G33" s="211"/>
      <c r="H33" s="211"/>
      <c r="I33" s="211"/>
    </row>
    <row r="34" spans="1:11" s="71" customFormat="1" ht="22.5" x14ac:dyDescent="0.3">
      <c r="A34" s="1912" t="s">
        <v>1120</v>
      </c>
      <c r="B34" s="1912" t="s">
        <v>1136</v>
      </c>
      <c r="C34" s="1913" t="s">
        <v>1057</v>
      </c>
      <c r="D34" s="1914"/>
      <c r="E34" s="1914"/>
      <c r="F34" s="1914"/>
      <c r="G34" s="1914"/>
      <c r="I34" s="211"/>
    </row>
    <row r="35" spans="1:11" s="71" customFormat="1" ht="81" x14ac:dyDescent="0.3">
      <c r="A35" s="1833"/>
      <c r="B35" s="1833"/>
      <c r="C35" s="808" t="s">
        <v>900</v>
      </c>
      <c r="D35" s="808" t="s">
        <v>581</v>
      </c>
      <c r="E35" s="808" t="s">
        <v>582</v>
      </c>
      <c r="F35" s="801" t="s">
        <v>1138</v>
      </c>
      <c r="G35" s="808" t="s">
        <v>1140</v>
      </c>
      <c r="H35" s="1958"/>
      <c r="I35" s="211"/>
    </row>
    <row r="36" spans="1:11" s="503" customFormat="1" ht="23.25" x14ac:dyDescent="0.2">
      <c r="A36" s="1486" t="s">
        <v>1141</v>
      </c>
      <c r="B36" s="1489">
        <v>77.25</v>
      </c>
      <c r="C36" s="1477">
        <v>49.5</v>
      </c>
      <c r="D36" s="1478">
        <f>26.75+1+1</f>
        <v>28.75</v>
      </c>
      <c r="E36" s="1477">
        <f>C36+D36</f>
        <v>78.25</v>
      </c>
      <c r="F36" s="1471">
        <v>2.5</v>
      </c>
      <c r="G36" s="1471">
        <v>0</v>
      </c>
      <c r="H36" s="1959"/>
      <c r="I36" s="803"/>
      <c r="K36" s="504"/>
    </row>
    <row r="37" spans="1:11" s="503" customFormat="1" ht="23.25" x14ac:dyDescent="0.2">
      <c r="A37" s="1487" t="s">
        <v>1137</v>
      </c>
      <c r="B37" s="1811">
        <f>B31</f>
        <v>152.5</v>
      </c>
      <c r="C37" s="1471">
        <f>C31</f>
        <v>99.5</v>
      </c>
      <c r="D37" s="1471">
        <f>D31</f>
        <v>53</v>
      </c>
      <c r="E37" s="1471">
        <f>C37+D37</f>
        <v>152.5</v>
      </c>
      <c r="F37" s="1471">
        <f>F31</f>
        <v>6</v>
      </c>
      <c r="G37" s="1488" t="s">
        <v>1139</v>
      </c>
      <c r="H37" s="1959"/>
      <c r="I37" s="803"/>
      <c r="K37" s="504"/>
    </row>
    <row r="38" spans="1:11" s="503" customFormat="1" ht="48" customHeight="1" x14ac:dyDescent="0.2">
      <c r="A38" s="1510" t="s">
        <v>1119</v>
      </c>
      <c r="B38" s="1511">
        <f>SUM(B36:B37)</f>
        <v>229.75</v>
      </c>
      <c r="C38" s="1511">
        <f t="shared" ref="C38:D38" si="6">SUM(C36:C37)</f>
        <v>149</v>
      </c>
      <c r="D38" s="1511">
        <f t="shared" si="6"/>
        <v>81.75</v>
      </c>
      <c r="E38" s="1511">
        <f t="shared" ref="E38" si="7">SUM(E36:E37)</f>
        <v>230.75</v>
      </c>
      <c r="F38" s="1511">
        <f t="shared" ref="F38" si="8">SUM(F36:F37)</f>
        <v>8.5</v>
      </c>
      <c r="G38" s="1511">
        <v>9</v>
      </c>
      <c r="H38" s="1960"/>
      <c r="I38" s="803"/>
    </row>
    <row r="39" spans="1:11" s="71" customFormat="1" ht="20.25" x14ac:dyDescent="0.3">
      <c r="A39" s="213"/>
      <c r="B39" s="213"/>
      <c r="C39" s="803"/>
      <c r="D39" s="211"/>
      <c r="E39" s="214"/>
      <c r="F39" s="211"/>
      <c r="G39" s="211"/>
      <c r="H39" s="211"/>
      <c r="I39" s="211"/>
    </row>
    <row r="40" spans="1:11" s="68" customFormat="1" x14ac:dyDescent="0.2">
      <c r="A40" s="203"/>
      <c r="B40" s="203"/>
      <c r="C40" s="804"/>
      <c r="D40" s="203"/>
      <c r="E40" s="203"/>
      <c r="F40" s="203"/>
      <c r="G40" s="203"/>
      <c r="H40" s="203"/>
      <c r="I40" s="203"/>
    </row>
    <row r="41" spans="1:11" s="68" customFormat="1" x14ac:dyDescent="0.2">
      <c r="A41" s="203"/>
      <c r="B41" s="203"/>
      <c r="C41" s="804"/>
      <c r="D41" s="203"/>
      <c r="E41" s="203"/>
      <c r="F41" s="203"/>
      <c r="G41" s="203"/>
      <c r="H41" s="203"/>
      <c r="I41" s="203"/>
    </row>
    <row r="42" spans="1:11" s="68" customFormat="1" x14ac:dyDescent="0.2">
      <c r="A42" s="203"/>
      <c r="B42" s="203"/>
      <c r="C42" s="804"/>
      <c r="D42" s="203"/>
      <c r="E42" s="203"/>
      <c r="F42" s="203"/>
      <c r="G42" s="203"/>
      <c r="H42" s="203"/>
      <c r="I42" s="203"/>
    </row>
    <row r="43" spans="1:11" s="68" customFormat="1" x14ac:dyDescent="0.2">
      <c r="A43" s="203"/>
      <c r="B43" s="203"/>
      <c r="C43" s="804"/>
      <c r="D43" s="203"/>
      <c r="E43" s="203"/>
      <c r="F43" s="203"/>
      <c r="G43" s="203"/>
      <c r="H43" s="203"/>
      <c r="I43" s="203"/>
    </row>
    <row r="44" spans="1:11" s="68" customFormat="1" x14ac:dyDescent="0.2">
      <c r="A44" s="203"/>
      <c r="B44" s="203"/>
      <c r="C44" s="804"/>
      <c r="D44" s="203"/>
      <c r="E44" s="203"/>
      <c r="F44" s="203"/>
      <c r="G44" s="203"/>
      <c r="H44" s="203"/>
      <c r="I44" s="203"/>
    </row>
    <row r="45" spans="1:11" s="68" customFormat="1" x14ac:dyDescent="0.2">
      <c r="A45" s="203"/>
      <c r="B45" s="203"/>
      <c r="C45" s="804"/>
      <c r="D45" s="203"/>
      <c r="E45" s="203"/>
      <c r="F45" s="203"/>
      <c r="G45" s="203"/>
      <c r="H45" s="203"/>
      <c r="I45" s="203"/>
    </row>
    <row r="46" spans="1:11" s="68" customFormat="1" x14ac:dyDescent="0.2">
      <c r="A46" s="203"/>
      <c r="B46" s="203"/>
      <c r="C46" s="804"/>
      <c r="D46" s="203"/>
      <c r="E46" s="203"/>
      <c r="F46" s="203"/>
      <c r="G46" s="203"/>
      <c r="H46" s="203"/>
      <c r="I46" s="203"/>
    </row>
    <row r="47" spans="1:11" s="68" customFormat="1" x14ac:dyDescent="0.2">
      <c r="A47" s="203"/>
      <c r="B47" s="203"/>
      <c r="C47" s="804"/>
      <c r="D47" s="203"/>
      <c r="E47" s="203"/>
      <c r="F47" s="203"/>
      <c r="G47" s="203"/>
      <c r="H47" s="203"/>
      <c r="I47" s="203"/>
    </row>
    <row r="48" spans="1:11" s="68" customFormat="1" x14ac:dyDescent="0.2">
      <c r="A48" s="203"/>
      <c r="B48" s="203"/>
      <c r="C48" s="804"/>
      <c r="D48" s="203"/>
      <c r="E48" s="203"/>
      <c r="F48" s="203"/>
      <c r="G48" s="203"/>
      <c r="H48" s="203"/>
      <c r="I48" s="203"/>
    </row>
    <row r="49" spans="1:9" s="68" customFormat="1" x14ac:dyDescent="0.2">
      <c r="A49" s="203"/>
      <c r="B49" s="203"/>
      <c r="C49" s="804"/>
      <c r="D49" s="203"/>
      <c r="E49" s="203"/>
      <c r="F49" s="203"/>
      <c r="G49" s="203"/>
      <c r="H49" s="203"/>
      <c r="I49" s="203"/>
    </row>
    <row r="50" spans="1:9" s="68" customFormat="1" x14ac:dyDescent="0.2">
      <c r="A50" s="203"/>
      <c r="B50" s="203"/>
      <c r="C50" s="804"/>
      <c r="D50" s="203"/>
      <c r="E50" s="203"/>
      <c r="F50" s="203"/>
      <c r="G50" s="203"/>
      <c r="H50" s="203"/>
      <c r="I50" s="203"/>
    </row>
    <row r="51" spans="1:9" s="68" customFormat="1" x14ac:dyDescent="0.2">
      <c r="A51" s="203"/>
      <c r="B51" s="203"/>
      <c r="C51" s="804"/>
      <c r="D51" s="203"/>
      <c r="E51" s="203"/>
      <c r="F51" s="203"/>
      <c r="G51" s="203"/>
      <c r="H51" s="203"/>
      <c r="I51" s="203"/>
    </row>
    <row r="52" spans="1:9" s="68" customFormat="1" x14ac:dyDescent="0.2">
      <c r="A52" s="203"/>
      <c r="B52" s="203"/>
      <c r="C52" s="804"/>
      <c r="D52" s="203"/>
      <c r="E52" s="203"/>
      <c r="F52" s="203"/>
      <c r="G52" s="203"/>
      <c r="H52" s="203"/>
      <c r="I52" s="203"/>
    </row>
    <row r="53" spans="1:9" s="68" customFormat="1" x14ac:dyDescent="0.2">
      <c r="A53" s="203"/>
      <c r="B53" s="203"/>
      <c r="C53" s="804"/>
      <c r="D53" s="203"/>
      <c r="E53" s="203"/>
      <c r="F53" s="203"/>
      <c r="G53" s="203"/>
      <c r="H53" s="203"/>
      <c r="I53" s="203"/>
    </row>
    <row r="54" spans="1:9" s="68" customFormat="1" x14ac:dyDescent="0.2">
      <c r="A54" s="203"/>
      <c r="B54" s="203"/>
      <c r="C54" s="804"/>
      <c r="D54" s="203"/>
      <c r="E54" s="203"/>
      <c r="F54" s="203"/>
      <c r="G54" s="203"/>
      <c r="H54" s="203"/>
      <c r="I54" s="203"/>
    </row>
    <row r="55" spans="1:9" s="68" customFormat="1" x14ac:dyDescent="0.2">
      <c r="A55" s="203"/>
      <c r="B55" s="203"/>
      <c r="C55" s="804"/>
      <c r="D55" s="203"/>
      <c r="E55" s="203"/>
      <c r="F55" s="203"/>
      <c r="G55" s="203"/>
      <c r="H55" s="203"/>
      <c r="I55" s="203"/>
    </row>
    <row r="56" spans="1:9" s="68" customFormat="1" x14ac:dyDescent="0.2">
      <c r="A56" s="203"/>
      <c r="B56" s="203"/>
      <c r="C56" s="804"/>
      <c r="D56" s="203"/>
      <c r="E56" s="203"/>
      <c r="F56" s="203"/>
      <c r="G56" s="203"/>
      <c r="H56" s="203"/>
      <c r="I56" s="203"/>
    </row>
    <row r="57" spans="1:9" s="68" customFormat="1" x14ac:dyDescent="0.2">
      <c r="A57" s="203"/>
      <c r="B57" s="203"/>
      <c r="C57" s="804"/>
      <c r="D57" s="203"/>
      <c r="E57" s="203"/>
      <c r="F57" s="203"/>
      <c r="G57" s="203"/>
      <c r="H57" s="203"/>
      <c r="I57" s="203"/>
    </row>
    <row r="58" spans="1:9" s="68" customFormat="1" x14ac:dyDescent="0.2">
      <c r="A58" s="203"/>
      <c r="B58" s="203"/>
      <c r="C58" s="804"/>
      <c r="D58" s="203"/>
      <c r="E58" s="203"/>
      <c r="F58" s="203"/>
      <c r="G58" s="203"/>
      <c r="H58" s="203"/>
      <c r="I58" s="203"/>
    </row>
    <row r="59" spans="1:9" s="68" customFormat="1" x14ac:dyDescent="0.2">
      <c r="A59" s="203"/>
      <c r="B59" s="203"/>
      <c r="C59" s="804"/>
      <c r="D59" s="203"/>
      <c r="E59" s="203"/>
      <c r="F59" s="203"/>
      <c r="G59" s="203"/>
      <c r="H59" s="203"/>
      <c r="I59" s="203"/>
    </row>
    <row r="60" spans="1:9" s="68" customFormat="1" x14ac:dyDescent="0.2">
      <c r="A60" s="203"/>
      <c r="B60" s="203"/>
      <c r="C60" s="804"/>
      <c r="D60" s="203"/>
      <c r="E60" s="203"/>
      <c r="F60" s="203"/>
      <c r="G60" s="203"/>
      <c r="H60" s="203"/>
      <c r="I60" s="203"/>
    </row>
    <row r="61" spans="1:9" s="68" customFormat="1" x14ac:dyDescent="0.2">
      <c r="A61" s="203"/>
      <c r="B61" s="203"/>
      <c r="C61" s="804"/>
      <c r="D61" s="203"/>
      <c r="E61" s="203"/>
      <c r="F61" s="203"/>
      <c r="G61" s="203"/>
      <c r="H61" s="203"/>
      <c r="I61" s="203"/>
    </row>
    <row r="62" spans="1:9" s="68" customFormat="1" x14ac:dyDescent="0.2">
      <c r="A62" s="203"/>
      <c r="B62" s="203"/>
      <c r="C62" s="804"/>
      <c r="D62" s="203"/>
      <c r="E62" s="203"/>
      <c r="F62" s="203"/>
      <c r="G62" s="203"/>
      <c r="H62" s="203"/>
      <c r="I62" s="203"/>
    </row>
    <row r="63" spans="1:9" s="68" customFormat="1" x14ac:dyDescent="0.2">
      <c r="A63" s="203"/>
      <c r="B63" s="203"/>
      <c r="C63" s="804"/>
      <c r="D63" s="203"/>
      <c r="E63" s="203"/>
      <c r="F63" s="203"/>
      <c r="G63" s="203"/>
      <c r="H63" s="203"/>
      <c r="I63" s="203"/>
    </row>
    <row r="64" spans="1:9" s="68" customFormat="1" x14ac:dyDescent="0.2">
      <c r="A64" s="203"/>
      <c r="B64" s="203"/>
      <c r="C64" s="804"/>
      <c r="D64" s="203"/>
      <c r="E64" s="203"/>
      <c r="F64" s="203"/>
      <c r="G64" s="203"/>
      <c r="H64" s="203"/>
      <c r="I64" s="203"/>
    </row>
    <row r="65" spans="1:9" s="68" customFormat="1" x14ac:dyDescent="0.2">
      <c r="A65" s="203"/>
      <c r="B65" s="203"/>
      <c r="C65" s="804"/>
      <c r="D65" s="203"/>
      <c r="E65" s="203"/>
      <c r="F65" s="203"/>
      <c r="G65" s="203"/>
      <c r="H65" s="203"/>
      <c r="I65" s="203"/>
    </row>
    <row r="66" spans="1:9" s="68" customFormat="1" x14ac:dyDescent="0.2">
      <c r="A66" s="203"/>
      <c r="B66" s="203"/>
      <c r="C66" s="804"/>
      <c r="D66" s="203"/>
      <c r="E66" s="203"/>
      <c r="F66" s="203"/>
      <c r="G66" s="203"/>
      <c r="H66" s="203"/>
      <c r="I66" s="203"/>
    </row>
    <row r="67" spans="1:9" s="68" customFormat="1" x14ac:dyDescent="0.2">
      <c r="A67" s="203"/>
      <c r="B67" s="203"/>
      <c r="C67" s="804"/>
      <c r="D67" s="203"/>
      <c r="E67" s="203"/>
      <c r="F67" s="203"/>
      <c r="G67" s="203"/>
      <c r="H67" s="203"/>
      <c r="I67" s="203"/>
    </row>
    <row r="68" spans="1:9" s="68" customFormat="1" x14ac:dyDescent="0.2">
      <c r="A68" s="203"/>
      <c r="B68" s="203"/>
      <c r="C68" s="804"/>
      <c r="D68" s="203"/>
      <c r="E68" s="203"/>
      <c r="F68" s="203"/>
      <c r="G68" s="203"/>
      <c r="H68" s="203"/>
      <c r="I68" s="203"/>
    </row>
    <row r="69" spans="1:9" s="68" customFormat="1" x14ac:dyDescent="0.2">
      <c r="A69" s="203"/>
      <c r="B69" s="203"/>
      <c r="C69" s="804"/>
      <c r="D69" s="203"/>
      <c r="E69" s="203"/>
      <c r="F69" s="203"/>
      <c r="G69" s="203"/>
      <c r="H69" s="203"/>
      <c r="I69" s="203"/>
    </row>
    <row r="70" spans="1:9" s="68" customFormat="1" x14ac:dyDescent="0.2">
      <c r="A70" s="203"/>
      <c r="B70" s="203"/>
      <c r="C70" s="804"/>
      <c r="D70" s="203"/>
      <c r="E70" s="203"/>
      <c r="F70" s="203"/>
      <c r="G70" s="203"/>
      <c r="H70" s="203"/>
      <c r="I70" s="203"/>
    </row>
    <row r="71" spans="1:9" s="68" customFormat="1" x14ac:dyDescent="0.2">
      <c r="A71" s="203"/>
      <c r="B71" s="203"/>
      <c r="C71" s="804"/>
      <c r="D71" s="203"/>
      <c r="E71" s="203"/>
      <c r="F71" s="203"/>
      <c r="G71" s="203"/>
      <c r="H71" s="203"/>
      <c r="I71" s="203"/>
    </row>
    <row r="72" spans="1:9" s="68" customFormat="1" x14ac:dyDescent="0.2">
      <c r="A72" s="203"/>
      <c r="B72" s="203"/>
      <c r="C72" s="804"/>
      <c r="D72" s="203"/>
      <c r="E72" s="203"/>
      <c r="F72" s="203"/>
      <c r="G72" s="203"/>
      <c r="H72" s="203"/>
      <c r="I72" s="203"/>
    </row>
    <row r="73" spans="1:9" s="68" customFormat="1" x14ac:dyDescent="0.2">
      <c r="A73" s="203"/>
      <c r="B73" s="203"/>
      <c r="C73" s="804"/>
      <c r="D73" s="203"/>
      <c r="E73" s="203"/>
      <c r="F73" s="203"/>
      <c r="G73" s="203"/>
      <c r="H73" s="203"/>
      <c r="I73" s="203"/>
    </row>
    <row r="74" spans="1:9" s="68" customFormat="1" x14ac:dyDescent="0.2">
      <c r="A74" s="203"/>
      <c r="B74" s="203"/>
      <c r="C74" s="804"/>
      <c r="D74" s="203"/>
      <c r="E74" s="203"/>
      <c r="F74" s="203"/>
      <c r="G74" s="203"/>
      <c r="H74" s="203"/>
      <c r="I74" s="203"/>
    </row>
    <row r="75" spans="1:9" s="68" customFormat="1" x14ac:dyDescent="0.2">
      <c r="A75" s="203"/>
      <c r="B75" s="203"/>
      <c r="C75" s="804"/>
      <c r="D75" s="203"/>
      <c r="E75" s="203"/>
      <c r="F75" s="203"/>
      <c r="G75" s="203"/>
      <c r="H75" s="203"/>
      <c r="I75" s="203"/>
    </row>
    <row r="76" spans="1:9" s="68" customFormat="1" x14ac:dyDescent="0.2">
      <c r="C76" s="805"/>
    </row>
    <row r="77" spans="1:9" s="68" customFormat="1" x14ac:dyDescent="0.2">
      <c r="C77" s="805"/>
    </row>
    <row r="78" spans="1:9" s="68" customFormat="1" x14ac:dyDescent="0.2">
      <c r="C78" s="805"/>
    </row>
    <row r="79" spans="1:9" s="68" customFormat="1" x14ac:dyDescent="0.2">
      <c r="C79" s="805"/>
    </row>
    <row r="80" spans="1:9" s="68" customFormat="1" x14ac:dyDescent="0.2">
      <c r="C80" s="805"/>
    </row>
    <row r="81" spans="1:6" s="68" customFormat="1" x14ac:dyDescent="0.2">
      <c r="C81" s="805"/>
    </row>
    <row r="82" spans="1:6" s="68" customFormat="1" x14ac:dyDescent="0.2">
      <c r="C82" s="805"/>
    </row>
    <row r="83" spans="1:6" s="68" customFormat="1" x14ac:dyDescent="0.2">
      <c r="C83" s="805"/>
    </row>
    <row r="84" spans="1:6" s="68" customFormat="1" x14ac:dyDescent="0.2">
      <c r="C84" s="805"/>
    </row>
    <row r="85" spans="1:6" s="68" customFormat="1" x14ac:dyDescent="0.2">
      <c r="C85" s="805"/>
    </row>
    <row r="86" spans="1:6" s="68" customFormat="1" x14ac:dyDescent="0.2">
      <c r="C86" s="805"/>
    </row>
    <row r="87" spans="1:6" x14ac:dyDescent="0.2">
      <c r="A87" s="68"/>
      <c r="B87" s="68"/>
      <c r="C87" s="805"/>
      <c r="D87" s="68"/>
      <c r="E87" s="68"/>
      <c r="F87" s="68"/>
    </row>
    <row r="88" spans="1:6" x14ac:dyDescent="0.2">
      <c r="A88" s="68"/>
      <c r="B88" s="68"/>
      <c r="C88" s="805"/>
      <c r="D88" s="68"/>
      <c r="E88" s="68"/>
      <c r="F88" s="68"/>
    </row>
    <row r="89" spans="1:6" x14ac:dyDescent="0.2">
      <c r="A89" s="68"/>
      <c r="B89" s="68"/>
      <c r="C89" s="805"/>
      <c r="D89" s="68"/>
      <c r="E89" s="68"/>
      <c r="F89" s="68"/>
    </row>
    <row r="90" spans="1:6" x14ac:dyDescent="0.2">
      <c r="A90" s="68"/>
      <c r="B90" s="68"/>
      <c r="C90" s="805"/>
      <c r="D90" s="68"/>
      <c r="E90" s="68"/>
      <c r="F90" s="68"/>
    </row>
    <row r="91" spans="1:6" x14ac:dyDescent="0.2">
      <c r="A91" s="68"/>
      <c r="B91" s="68"/>
      <c r="C91" s="805"/>
      <c r="D91" s="68"/>
      <c r="E91" s="68"/>
      <c r="F91" s="68"/>
    </row>
    <row r="92" spans="1:6" x14ac:dyDescent="0.2">
      <c r="A92" s="68"/>
      <c r="B92" s="68"/>
      <c r="C92" s="805"/>
      <c r="D92" s="68"/>
      <c r="E92" s="68"/>
      <c r="F92" s="68"/>
    </row>
    <row r="93" spans="1:6" x14ac:dyDescent="0.2">
      <c r="A93" s="68"/>
      <c r="B93" s="68"/>
      <c r="C93" s="805"/>
      <c r="D93" s="68"/>
      <c r="E93" s="68"/>
      <c r="F93" s="68"/>
    </row>
    <row r="94" spans="1:6" x14ac:dyDescent="0.2">
      <c r="A94" s="68"/>
      <c r="B94" s="68"/>
      <c r="C94" s="805"/>
      <c r="D94" s="68"/>
      <c r="E94" s="68"/>
      <c r="F94" s="68"/>
    </row>
    <row r="95" spans="1:6" x14ac:dyDescent="0.2">
      <c r="A95" s="68"/>
      <c r="B95" s="68"/>
      <c r="C95" s="805"/>
      <c r="D95" s="68"/>
      <c r="E95" s="68"/>
      <c r="F95" s="68"/>
    </row>
    <row r="96" spans="1:6" x14ac:dyDescent="0.2">
      <c r="A96" s="68"/>
      <c r="B96" s="68"/>
      <c r="C96" s="805"/>
      <c r="D96" s="68"/>
      <c r="E96" s="68"/>
      <c r="F96" s="68"/>
    </row>
    <row r="97" spans="1:6" x14ac:dyDescent="0.2">
      <c r="A97" s="68"/>
      <c r="B97" s="68"/>
      <c r="C97" s="805"/>
      <c r="D97" s="68"/>
      <c r="E97" s="68"/>
      <c r="F97" s="68"/>
    </row>
    <row r="98" spans="1:6" x14ac:dyDescent="0.2">
      <c r="A98" s="68"/>
      <c r="B98" s="68"/>
      <c r="C98" s="805"/>
      <c r="D98" s="68"/>
      <c r="E98" s="68"/>
      <c r="F98" s="68"/>
    </row>
    <row r="99" spans="1:6" x14ac:dyDescent="0.2">
      <c r="A99" s="68"/>
      <c r="B99" s="68"/>
      <c r="C99" s="805"/>
      <c r="D99" s="68"/>
      <c r="E99" s="68"/>
      <c r="F99" s="68"/>
    </row>
    <row r="100" spans="1:6" x14ac:dyDescent="0.2">
      <c r="A100" s="68"/>
      <c r="B100" s="68"/>
      <c r="C100" s="805"/>
      <c r="D100" s="68"/>
      <c r="E100" s="68"/>
      <c r="F100" s="68"/>
    </row>
    <row r="101" spans="1:6" x14ac:dyDescent="0.2">
      <c r="A101" s="68"/>
      <c r="B101" s="68"/>
      <c r="C101" s="805"/>
      <c r="D101" s="68"/>
      <c r="E101" s="68"/>
      <c r="F101" s="68"/>
    </row>
    <row r="102" spans="1:6" x14ac:dyDescent="0.2">
      <c r="A102" s="68"/>
      <c r="B102" s="68"/>
      <c r="C102" s="805"/>
      <c r="D102" s="68"/>
      <c r="E102" s="68"/>
      <c r="F102" s="68"/>
    </row>
    <row r="103" spans="1:6" x14ac:dyDescent="0.2">
      <c r="A103" s="68"/>
      <c r="B103" s="68"/>
      <c r="C103" s="805"/>
      <c r="D103" s="68"/>
      <c r="E103" s="68"/>
      <c r="F103" s="68"/>
    </row>
    <row r="104" spans="1:6" x14ac:dyDescent="0.2">
      <c r="A104" s="68"/>
      <c r="B104" s="68"/>
      <c r="C104" s="805"/>
      <c r="D104" s="68"/>
      <c r="E104" s="68"/>
      <c r="F104" s="68"/>
    </row>
    <row r="105" spans="1:6" x14ac:dyDescent="0.2">
      <c r="A105" s="68"/>
      <c r="B105" s="68"/>
      <c r="C105" s="805"/>
      <c r="D105" s="68"/>
      <c r="E105" s="68"/>
      <c r="F105" s="68"/>
    </row>
    <row r="106" spans="1:6" x14ac:dyDescent="0.2">
      <c r="A106" s="68"/>
      <c r="B106" s="68"/>
      <c r="C106" s="805"/>
      <c r="D106" s="68"/>
      <c r="E106" s="68"/>
      <c r="F106" s="68"/>
    </row>
    <row r="107" spans="1:6" x14ac:dyDescent="0.2">
      <c r="A107" s="68"/>
      <c r="B107" s="68"/>
      <c r="C107" s="805"/>
      <c r="D107" s="68"/>
      <c r="E107" s="68"/>
      <c r="F107" s="68"/>
    </row>
    <row r="108" spans="1:6" x14ac:dyDescent="0.2">
      <c r="A108" s="68"/>
      <c r="B108" s="68"/>
      <c r="C108" s="805"/>
      <c r="D108" s="68"/>
      <c r="E108" s="68"/>
      <c r="F108" s="68"/>
    </row>
    <row r="109" spans="1:6" x14ac:dyDescent="0.2">
      <c r="A109" s="68"/>
      <c r="B109" s="68"/>
      <c r="C109" s="805"/>
      <c r="D109" s="68"/>
      <c r="E109" s="68"/>
      <c r="F109" s="68"/>
    </row>
    <row r="110" spans="1:6" x14ac:dyDescent="0.2">
      <c r="A110" s="68"/>
      <c r="B110" s="68"/>
      <c r="C110" s="805"/>
      <c r="D110" s="68"/>
      <c r="E110" s="68"/>
      <c r="F110" s="68"/>
    </row>
    <row r="111" spans="1:6" x14ac:dyDescent="0.2">
      <c r="A111" s="68"/>
      <c r="B111" s="68"/>
      <c r="C111" s="805"/>
      <c r="D111" s="68"/>
      <c r="E111" s="68"/>
      <c r="F111" s="68"/>
    </row>
    <row r="112" spans="1:6" x14ac:dyDescent="0.2">
      <c r="A112" s="68"/>
      <c r="B112" s="68"/>
      <c r="C112" s="805"/>
      <c r="D112" s="68"/>
      <c r="E112" s="68"/>
      <c r="F112" s="68"/>
    </row>
    <row r="113" spans="1:6" x14ac:dyDescent="0.2">
      <c r="A113" s="68"/>
      <c r="B113" s="68"/>
      <c r="C113" s="805"/>
      <c r="D113" s="68"/>
      <c r="E113" s="68"/>
      <c r="F113" s="68"/>
    </row>
    <row r="114" spans="1:6" x14ac:dyDescent="0.2">
      <c r="A114" s="68"/>
      <c r="B114" s="68"/>
      <c r="C114" s="805"/>
      <c r="D114" s="68"/>
      <c r="E114" s="68"/>
      <c r="F114" s="68"/>
    </row>
    <row r="115" spans="1:6" x14ac:dyDescent="0.2">
      <c r="A115" s="68"/>
      <c r="B115" s="68"/>
      <c r="C115" s="805"/>
      <c r="D115" s="68"/>
      <c r="E115" s="68"/>
      <c r="F115" s="68"/>
    </row>
    <row r="116" spans="1:6" x14ac:dyDescent="0.2">
      <c r="A116" s="68"/>
      <c r="B116" s="68"/>
      <c r="C116" s="805"/>
      <c r="D116" s="68"/>
      <c r="E116" s="68"/>
      <c r="F116" s="68"/>
    </row>
    <row r="117" spans="1:6" x14ac:dyDescent="0.2">
      <c r="A117" s="68"/>
      <c r="B117" s="68"/>
      <c r="C117" s="805"/>
      <c r="D117" s="68"/>
      <c r="E117" s="68"/>
      <c r="F117" s="68"/>
    </row>
    <row r="118" spans="1:6" x14ac:dyDescent="0.2">
      <c r="A118" s="68"/>
      <c r="B118" s="68"/>
      <c r="C118" s="805"/>
      <c r="D118" s="68"/>
      <c r="E118" s="68"/>
      <c r="F118" s="68"/>
    </row>
    <row r="119" spans="1:6" x14ac:dyDescent="0.2">
      <c r="A119" s="68"/>
      <c r="B119" s="68"/>
      <c r="C119" s="805"/>
      <c r="D119" s="68"/>
      <c r="E119" s="68"/>
      <c r="F119" s="68"/>
    </row>
    <row r="120" spans="1:6" x14ac:dyDescent="0.2">
      <c r="A120" s="68"/>
      <c r="B120" s="68"/>
      <c r="C120" s="805"/>
      <c r="D120" s="68"/>
      <c r="E120" s="68"/>
      <c r="F120" s="68"/>
    </row>
    <row r="121" spans="1:6" x14ac:dyDescent="0.2">
      <c r="A121" s="68"/>
      <c r="B121" s="68"/>
      <c r="C121" s="805"/>
      <c r="D121" s="68"/>
      <c r="E121" s="68"/>
      <c r="F121" s="68"/>
    </row>
    <row r="122" spans="1:6" x14ac:dyDescent="0.2">
      <c r="A122" s="68"/>
      <c r="B122" s="68"/>
      <c r="C122" s="805"/>
      <c r="D122" s="68"/>
      <c r="E122" s="68"/>
      <c r="F122" s="68"/>
    </row>
    <row r="123" spans="1:6" x14ac:dyDescent="0.2">
      <c r="A123" s="68"/>
      <c r="B123" s="68"/>
      <c r="C123" s="805"/>
      <c r="D123" s="68"/>
      <c r="E123" s="68"/>
      <c r="F123" s="68"/>
    </row>
    <row r="124" spans="1:6" x14ac:dyDescent="0.2">
      <c r="A124" s="68"/>
      <c r="B124" s="68"/>
      <c r="C124" s="805"/>
      <c r="D124" s="68"/>
      <c r="E124" s="68"/>
      <c r="F124" s="68"/>
    </row>
    <row r="125" spans="1:6" x14ac:dyDescent="0.2">
      <c r="A125" s="68"/>
      <c r="B125" s="68"/>
      <c r="C125" s="805"/>
      <c r="D125" s="68"/>
      <c r="E125" s="68"/>
      <c r="F125" s="68"/>
    </row>
    <row r="126" spans="1:6" x14ac:dyDescent="0.2">
      <c r="A126" s="68"/>
      <c r="B126" s="68"/>
      <c r="C126" s="805"/>
      <c r="D126" s="68"/>
      <c r="E126" s="68"/>
      <c r="F126" s="68"/>
    </row>
    <row r="127" spans="1:6" x14ac:dyDescent="0.2">
      <c r="A127" s="68"/>
      <c r="B127" s="68"/>
      <c r="C127" s="805"/>
      <c r="D127" s="68"/>
      <c r="E127" s="68"/>
      <c r="F127" s="68"/>
    </row>
    <row r="128" spans="1:6" x14ac:dyDescent="0.2">
      <c r="A128" s="68"/>
      <c r="B128" s="68"/>
      <c r="C128" s="805"/>
      <c r="D128" s="68"/>
      <c r="E128" s="68"/>
      <c r="F128" s="68"/>
    </row>
    <row r="129" spans="1:6" x14ac:dyDescent="0.2">
      <c r="A129" s="68"/>
      <c r="B129" s="68"/>
      <c r="C129" s="805"/>
      <c r="D129" s="68"/>
      <c r="E129" s="68"/>
      <c r="F129" s="68"/>
    </row>
    <row r="130" spans="1:6" x14ac:dyDescent="0.2">
      <c r="A130" s="68"/>
      <c r="B130" s="68"/>
      <c r="C130" s="805"/>
      <c r="D130" s="68"/>
      <c r="E130" s="68"/>
      <c r="F130" s="68"/>
    </row>
    <row r="131" spans="1:6" x14ac:dyDescent="0.2">
      <c r="A131" s="68"/>
      <c r="B131" s="68"/>
      <c r="C131" s="805"/>
      <c r="D131" s="68"/>
      <c r="E131" s="68"/>
      <c r="F131" s="68"/>
    </row>
    <row r="132" spans="1:6" x14ac:dyDescent="0.2">
      <c r="A132" s="68"/>
      <c r="B132" s="68"/>
      <c r="C132" s="805"/>
      <c r="D132" s="68"/>
      <c r="E132" s="68"/>
      <c r="F132" s="68"/>
    </row>
    <row r="133" spans="1:6" x14ac:dyDescent="0.2">
      <c r="A133" s="68"/>
      <c r="B133" s="68"/>
      <c r="C133" s="805"/>
      <c r="D133" s="68"/>
      <c r="E133" s="68"/>
      <c r="F133" s="68"/>
    </row>
    <row r="134" spans="1:6" x14ac:dyDescent="0.2">
      <c r="A134" s="68"/>
      <c r="B134" s="68"/>
      <c r="C134" s="805"/>
      <c r="D134" s="68"/>
      <c r="E134" s="68"/>
      <c r="F134" s="68"/>
    </row>
    <row r="135" spans="1:6" x14ac:dyDescent="0.2">
      <c r="A135" s="68"/>
      <c r="B135" s="68"/>
      <c r="C135" s="805"/>
      <c r="D135" s="68"/>
      <c r="E135" s="68"/>
      <c r="F135" s="68"/>
    </row>
    <row r="136" spans="1:6" x14ac:dyDescent="0.2">
      <c r="A136" s="68"/>
      <c r="B136" s="68"/>
      <c r="C136" s="805"/>
      <c r="D136" s="68"/>
      <c r="E136" s="68"/>
      <c r="F136" s="68"/>
    </row>
    <row r="137" spans="1:6" x14ac:dyDescent="0.2">
      <c r="A137" s="68"/>
      <c r="B137" s="68"/>
      <c r="C137" s="805"/>
      <c r="D137" s="68"/>
      <c r="E137" s="68"/>
      <c r="F137" s="68"/>
    </row>
    <row r="138" spans="1:6" x14ac:dyDescent="0.2">
      <c r="A138" s="68"/>
      <c r="B138" s="68"/>
      <c r="C138" s="805"/>
      <c r="D138" s="68"/>
      <c r="E138" s="68"/>
      <c r="F138" s="68"/>
    </row>
    <row r="139" spans="1:6" x14ac:dyDescent="0.2">
      <c r="A139" s="68"/>
      <c r="B139" s="68"/>
      <c r="C139" s="805"/>
      <c r="D139" s="68"/>
      <c r="E139" s="68"/>
      <c r="F139" s="68"/>
    </row>
    <row r="140" spans="1:6" x14ac:dyDescent="0.2">
      <c r="A140" s="68"/>
      <c r="B140" s="68"/>
      <c r="C140" s="805"/>
      <c r="D140" s="68"/>
      <c r="E140" s="68"/>
      <c r="F140" s="68"/>
    </row>
    <row r="141" spans="1:6" x14ac:dyDescent="0.2">
      <c r="A141" s="68"/>
      <c r="B141" s="68"/>
      <c r="C141" s="805"/>
      <c r="D141" s="68"/>
      <c r="E141" s="68"/>
      <c r="F141" s="68"/>
    </row>
    <row r="142" spans="1:6" x14ac:dyDescent="0.2">
      <c r="A142" s="68"/>
      <c r="B142" s="68"/>
      <c r="C142" s="805"/>
      <c r="D142" s="68"/>
      <c r="E142" s="68"/>
      <c r="F142" s="68"/>
    </row>
    <row r="143" spans="1:6" x14ac:dyDescent="0.2">
      <c r="A143" s="68"/>
      <c r="B143" s="68"/>
      <c r="C143" s="805"/>
      <c r="D143" s="68"/>
      <c r="E143" s="68"/>
      <c r="F143" s="68"/>
    </row>
    <row r="144" spans="1:6" x14ac:dyDescent="0.2">
      <c r="A144" s="68"/>
      <c r="B144" s="68"/>
      <c r="C144" s="805"/>
      <c r="D144" s="68"/>
      <c r="E144" s="68"/>
      <c r="F144" s="68"/>
    </row>
    <row r="145" spans="1:6" x14ac:dyDescent="0.2">
      <c r="A145" s="68"/>
      <c r="B145" s="68"/>
      <c r="C145" s="805"/>
      <c r="D145" s="68"/>
      <c r="E145" s="68"/>
      <c r="F145" s="68"/>
    </row>
    <row r="146" spans="1:6" x14ac:dyDescent="0.2">
      <c r="A146" s="68"/>
      <c r="B146" s="68"/>
      <c r="C146" s="805"/>
      <c r="D146" s="68"/>
      <c r="E146" s="68"/>
      <c r="F146" s="68"/>
    </row>
    <row r="147" spans="1:6" x14ac:dyDescent="0.2">
      <c r="A147" s="68"/>
      <c r="B147" s="68"/>
      <c r="C147" s="805"/>
      <c r="D147" s="68"/>
      <c r="E147" s="68"/>
      <c r="F147" s="68"/>
    </row>
    <row r="148" spans="1:6" x14ac:dyDescent="0.2">
      <c r="A148" s="68"/>
      <c r="B148" s="68"/>
      <c r="C148" s="805"/>
      <c r="D148" s="68"/>
      <c r="E148" s="68"/>
      <c r="F148" s="68"/>
    </row>
    <row r="149" spans="1:6" x14ac:dyDescent="0.2">
      <c r="A149" s="68"/>
      <c r="B149" s="68"/>
      <c r="C149" s="805"/>
      <c r="D149" s="68"/>
      <c r="E149" s="68"/>
      <c r="F149" s="68"/>
    </row>
    <row r="150" spans="1:6" x14ac:dyDescent="0.2">
      <c r="A150" s="68"/>
      <c r="B150" s="68"/>
      <c r="C150" s="805"/>
      <c r="D150" s="68"/>
      <c r="E150" s="68"/>
      <c r="F150" s="68"/>
    </row>
    <row r="151" spans="1:6" x14ac:dyDescent="0.2">
      <c r="A151" s="68"/>
      <c r="B151" s="68"/>
      <c r="C151" s="805"/>
      <c r="D151" s="68"/>
      <c r="E151" s="68"/>
      <c r="F151" s="68"/>
    </row>
    <row r="152" spans="1:6" x14ac:dyDescent="0.2">
      <c r="A152" s="68"/>
      <c r="B152" s="68"/>
      <c r="C152" s="805"/>
      <c r="D152" s="68"/>
      <c r="E152" s="68"/>
      <c r="F152" s="68"/>
    </row>
    <row r="153" spans="1:6" x14ac:dyDescent="0.2">
      <c r="A153" s="68"/>
      <c r="B153" s="68"/>
      <c r="C153" s="805"/>
      <c r="D153" s="68"/>
      <c r="E153" s="68"/>
      <c r="F153" s="68"/>
    </row>
    <row r="154" spans="1:6" x14ac:dyDescent="0.2">
      <c r="A154" s="68"/>
      <c r="B154" s="68"/>
      <c r="C154" s="805"/>
      <c r="D154" s="68"/>
      <c r="E154" s="68"/>
      <c r="F154" s="68"/>
    </row>
    <row r="155" spans="1:6" x14ac:dyDescent="0.2">
      <c r="A155" s="68"/>
      <c r="B155" s="68"/>
      <c r="C155" s="805"/>
      <c r="D155" s="68"/>
      <c r="E155" s="68"/>
      <c r="F155" s="68"/>
    </row>
    <row r="156" spans="1:6" x14ac:dyDescent="0.2">
      <c r="A156" s="68"/>
      <c r="B156" s="68"/>
      <c r="C156" s="805"/>
      <c r="D156" s="68"/>
      <c r="E156" s="68"/>
      <c r="F156" s="68"/>
    </row>
    <row r="157" spans="1:6" x14ac:dyDescent="0.2">
      <c r="A157" s="68"/>
      <c r="B157" s="68"/>
      <c r="C157" s="805"/>
      <c r="D157" s="68"/>
      <c r="E157" s="68"/>
      <c r="F157" s="68"/>
    </row>
    <row r="158" spans="1:6" x14ac:dyDescent="0.2">
      <c r="A158" s="68"/>
      <c r="B158" s="68"/>
      <c r="C158" s="805"/>
      <c r="D158" s="68"/>
      <c r="E158" s="68"/>
      <c r="F158" s="68"/>
    </row>
    <row r="159" spans="1:6" x14ac:dyDescent="0.2">
      <c r="A159" s="68"/>
      <c r="B159" s="68"/>
      <c r="C159" s="805"/>
      <c r="D159" s="68"/>
      <c r="E159" s="68"/>
      <c r="F159" s="68"/>
    </row>
    <row r="160" spans="1:6" x14ac:dyDescent="0.2">
      <c r="A160" s="68"/>
      <c r="B160" s="68"/>
      <c r="C160" s="805"/>
      <c r="D160" s="68"/>
      <c r="E160" s="68"/>
      <c r="F160" s="68"/>
    </row>
    <row r="161" spans="1:6" x14ac:dyDescent="0.2">
      <c r="A161" s="68"/>
      <c r="B161" s="68"/>
      <c r="C161" s="805"/>
      <c r="D161" s="68"/>
      <c r="E161" s="68"/>
      <c r="F161" s="68"/>
    </row>
    <row r="162" spans="1:6" x14ac:dyDescent="0.2">
      <c r="A162" s="68"/>
      <c r="B162" s="68"/>
      <c r="C162" s="805"/>
      <c r="D162" s="68"/>
      <c r="E162" s="68"/>
      <c r="F162" s="68"/>
    </row>
    <row r="163" spans="1:6" x14ac:dyDescent="0.2">
      <c r="A163" s="68"/>
      <c r="B163" s="68"/>
      <c r="C163" s="805"/>
      <c r="D163" s="68"/>
      <c r="E163" s="68"/>
      <c r="F163" s="68"/>
    </row>
    <row r="164" spans="1:6" x14ac:dyDescent="0.2">
      <c r="A164" s="68"/>
      <c r="B164" s="68"/>
      <c r="C164" s="805"/>
      <c r="D164" s="68"/>
      <c r="E164" s="68"/>
      <c r="F164" s="68"/>
    </row>
    <row r="165" spans="1:6" x14ac:dyDescent="0.2">
      <c r="A165" s="68"/>
      <c r="B165" s="68"/>
      <c r="C165" s="805"/>
      <c r="D165" s="68"/>
      <c r="E165" s="68"/>
      <c r="F165" s="68"/>
    </row>
    <row r="166" spans="1:6" x14ac:dyDescent="0.2">
      <c r="A166" s="68"/>
      <c r="B166" s="68"/>
      <c r="C166" s="805"/>
      <c r="D166" s="68"/>
      <c r="E166" s="68"/>
      <c r="F166" s="68"/>
    </row>
    <row r="167" spans="1:6" x14ac:dyDescent="0.2">
      <c r="A167" s="68"/>
      <c r="B167" s="68"/>
      <c r="C167" s="805"/>
      <c r="D167" s="68"/>
      <c r="E167" s="68"/>
      <c r="F167" s="68"/>
    </row>
    <row r="168" spans="1:6" x14ac:dyDescent="0.2">
      <c r="A168" s="68"/>
      <c r="B168" s="68"/>
      <c r="C168" s="805"/>
      <c r="D168" s="68"/>
      <c r="E168" s="68"/>
      <c r="F168" s="68"/>
    </row>
    <row r="169" spans="1:6" x14ac:dyDescent="0.2">
      <c r="A169" s="68"/>
      <c r="B169" s="68"/>
      <c r="C169" s="805"/>
      <c r="D169" s="68"/>
      <c r="E169" s="68"/>
      <c r="F169" s="68"/>
    </row>
    <row r="170" spans="1:6" x14ac:dyDescent="0.2">
      <c r="A170" s="68"/>
      <c r="B170" s="68"/>
      <c r="C170" s="805"/>
      <c r="D170" s="68"/>
      <c r="E170" s="68"/>
      <c r="F170" s="68"/>
    </row>
    <row r="171" spans="1:6" x14ac:dyDescent="0.2">
      <c r="A171" s="68"/>
      <c r="B171" s="68"/>
      <c r="C171" s="805"/>
      <c r="D171" s="68"/>
      <c r="E171" s="68"/>
      <c r="F171" s="68"/>
    </row>
    <row r="172" spans="1:6" x14ac:dyDescent="0.2">
      <c r="A172" s="68"/>
      <c r="B172" s="68"/>
      <c r="C172" s="805"/>
      <c r="D172" s="68"/>
      <c r="E172" s="68"/>
      <c r="F172" s="68"/>
    </row>
    <row r="173" spans="1:6" x14ac:dyDescent="0.2">
      <c r="A173" s="68"/>
      <c r="B173" s="68"/>
      <c r="C173" s="805"/>
      <c r="D173" s="68"/>
      <c r="E173" s="68"/>
      <c r="F173" s="68"/>
    </row>
    <row r="174" spans="1:6" x14ac:dyDescent="0.2">
      <c r="A174" s="68"/>
      <c r="B174" s="68"/>
      <c r="C174" s="805"/>
      <c r="D174" s="68"/>
      <c r="E174" s="68"/>
      <c r="F174" s="68"/>
    </row>
    <row r="175" spans="1:6" x14ac:dyDescent="0.2">
      <c r="A175" s="68"/>
      <c r="B175" s="68"/>
      <c r="C175" s="805"/>
      <c r="D175" s="68"/>
      <c r="E175" s="68"/>
      <c r="F175" s="68"/>
    </row>
  </sheetData>
  <mergeCells count="18">
    <mergeCell ref="A1:G1"/>
    <mergeCell ref="C33:F33"/>
    <mergeCell ref="C32:E32"/>
    <mergeCell ref="G32:I32"/>
    <mergeCell ref="A4:G4"/>
    <mergeCell ref="A2:G2"/>
    <mergeCell ref="A8:A9"/>
    <mergeCell ref="B8:B9"/>
    <mergeCell ref="C8:G8"/>
    <mergeCell ref="A17:A18"/>
    <mergeCell ref="B17:B18"/>
    <mergeCell ref="C17:G17"/>
    <mergeCell ref="A21:A22"/>
    <mergeCell ref="B21:B22"/>
    <mergeCell ref="C21:G21"/>
    <mergeCell ref="A34:A35"/>
    <mergeCell ref="B34:B35"/>
    <mergeCell ref="C34:G34"/>
  </mergeCells>
  <phoneticPr fontId="57" type="noConversion"/>
  <printOptions horizontalCentered="1"/>
  <pageMargins left="0.39370078740157483" right="0.39370078740157483" top="0.39370078740157483" bottom="0.39370078740157483" header="0.59055118110236227" footer="0.51181102362204722"/>
  <pageSetup paperSize="9" scale="49" firstPageNumber="0" orientation="portrait" cellComments="asDisplayed" horizontalDpi="300" verticalDpi="300" r:id="rId1"/>
  <headerFooter alignWithMargins="0">
    <oddFooter>&amp;L&amp;14* 75 %-os állami finanszírozás mellett átlag 9 fő foglalkoztatása tervezett
** +2 fő egyéb dolgozó -1 fő köztisztviselő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view="pageBreakPreview" zoomScale="80" zoomScaleSheetLayoutView="80" workbookViewId="0">
      <selection sqref="A1:M1"/>
    </sheetView>
  </sheetViews>
  <sheetFormatPr defaultRowHeight="15" x14ac:dyDescent="0.25"/>
  <cols>
    <col min="1" max="1" width="69.28515625" style="249" customWidth="1"/>
    <col min="2" max="2" width="9.140625" style="249"/>
    <col min="3" max="3" width="16.42578125" style="249" bestFit="1" customWidth="1"/>
    <col min="4" max="6" width="16.42578125" style="249" customWidth="1"/>
    <col min="7" max="7" width="75.85546875" style="249" bestFit="1" customWidth="1"/>
    <col min="8" max="8" width="8.85546875" style="249" bestFit="1" customWidth="1"/>
    <col min="9" max="9" width="14.85546875" style="249" bestFit="1" customWidth="1"/>
    <col min="10" max="10" width="14.85546875" style="249" customWidth="1"/>
    <col min="11" max="11" width="15.7109375" style="249" customWidth="1"/>
    <col min="12" max="12" width="17.5703125" style="249" customWidth="1"/>
    <col min="13" max="16384" width="9.140625" style="249"/>
  </cols>
  <sheetData>
    <row r="1" spans="1:13" ht="20.25" x14ac:dyDescent="0.3">
      <c r="A1" s="1920" t="str">
        <f>Tartalomjegyzék_2018!A1</f>
        <v>Pilisvörösvár Város Önkormányzata Képviselő-testületének 2/2018. (II. 9.) önkormányzati rendelete</v>
      </c>
      <c r="B1" s="1920"/>
      <c r="C1" s="1920"/>
      <c r="D1" s="1920"/>
      <c r="E1" s="1920"/>
      <c r="F1" s="1920"/>
      <c r="G1" s="1920"/>
      <c r="H1" s="1920"/>
      <c r="I1" s="1920"/>
      <c r="J1" s="1920"/>
      <c r="K1" s="1920"/>
      <c r="L1" s="1920"/>
      <c r="M1" s="1920"/>
    </row>
    <row r="2" spans="1:13" ht="20.25" x14ac:dyDescent="0.3">
      <c r="A2" s="1920" t="str">
        <f>Tartalomjegyzék_2018!A2</f>
        <v>az Önkormányzat  2018. évi költségvetéséről</v>
      </c>
      <c r="B2" s="1920"/>
      <c r="C2" s="1920"/>
      <c r="D2" s="1920"/>
      <c r="E2" s="1920"/>
      <c r="F2" s="1920"/>
      <c r="G2" s="1920"/>
      <c r="H2" s="1920"/>
      <c r="I2" s="1920"/>
      <c r="J2" s="1920"/>
      <c r="K2" s="1920"/>
      <c r="L2" s="1920"/>
      <c r="M2" s="1920"/>
    </row>
    <row r="3" spans="1:13" ht="20.25" x14ac:dyDescent="0.3">
      <c r="A3" s="1921"/>
      <c r="B3" s="1921"/>
      <c r="C3" s="1921"/>
      <c r="D3" s="1921"/>
      <c r="E3" s="1921"/>
      <c r="F3" s="1921"/>
      <c r="G3" s="1921"/>
      <c r="H3" s="1921"/>
      <c r="I3" s="1921"/>
      <c r="J3" s="1921"/>
      <c r="K3" s="1921"/>
      <c r="L3" s="1921"/>
      <c r="M3" s="1921"/>
    </row>
    <row r="4" spans="1:13" ht="20.25" x14ac:dyDescent="0.3">
      <c r="A4" s="1921" t="str">
        <f>Tartalomjegyzék_2018!B34</f>
        <v>Pilisvörösvár Város Önkormányzata költségvetési mérlege</v>
      </c>
      <c r="B4" s="1921"/>
      <c r="C4" s="1921"/>
      <c r="D4" s="1921"/>
      <c r="E4" s="1921"/>
      <c r="F4" s="1921"/>
      <c r="G4" s="1921"/>
      <c r="H4" s="1921"/>
      <c r="I4" s="1921"/>
      <c r="J4" s="1921"/>
      <c r="K4" s="1921"/>
      <c r="L4" s="1921"/>
      <c r="M4" s="1921"/>
    </row>
    <row r="5" spans="1:13" ht="20.25" x14ac:dyDescent="0.3">
      <c r="A5" s="250"/>
      <c r="B5" s="250"/>
      <c r="C5" s="250"/>
      <c r="D5" s="250"/>
      <c r="E5" s="250"/>
      <c r="F5" s="250"/>
      <c r="G5" s="250"/>
      <c r="H5" s="250"/>
      <c r="I5" s="250"/>
      <c r="J5" s="250"/>
      <c r="L5" s="1032" t="s">
        <v>20</v>
      </c>
    </row>
    <row r="6" spans="1:13" ht="21" thickBot="1" x14ac:dyDescent="0.35">
      <c r="A6" s="251"/>
      <c r="B6" s="250"/>
      <c r="C6" s="250"/>
      <c r="D6" s="250"/>
      <c r="E6" s="250"/>
      <c r="F6" s="250"/>
      <c r="G6" s="250"/>
      <c r="H6" s="250"/>
      <c r="I6" s="250"/>
      <c r="J6" s="250"/>
      <c r="L6" s="1032" t="s">
        <v>329</v>
      </c>
    </row>
    <row r="7" spans="1:13" ht="57" thickBot="1" x14ac:dyDescent="0.3">
      <c r="A7" s="252" t="s">
        <v>369</v>
      </c>
      <c r="B7" s="88" t="s">
        <v>370</v>
      </c>
      <c r="C7" s="253" t="s">
        <v>967</v>
      </c>
      <c r="D7" s="254" t="s">
        <v>968</v>
      </c>
      <c r="E7" s="254" t="s">
        <v>969</v>
      </c>
      <c r="F7" s="1537" t="s">
        <v>970</v>
      </c>
      <c r="G7" s="1548" t="s">
        <v>369</v>
      </c>
      <c r="H7" s="673" t="s">
        <v>293</v>
      </c>
      <c r="I7" s="253" t="s">
        <v>967</v>
      </c>
      <c r="J7" s="254" t="s">
        <v>968</v>
      </c>
      <c r="K7" s="254" t="s">
        <v>969</v>
      </c>
      <c r="L7" s="1537" t="s">
        <v>1118</v>
      </c>
    </row>
    <row r="8" spans="1:13" ht="30" customHeight="1" x14ac:dyDescent="0.3">
      <c r="A8" s="255" t="s">
        <v>380</v>
      </c>
      <c r="B8" s="256" t="s">
        <v>381</v>
      </c>
      <c r="C8" s="258">
        <v>602482</v>
      </c>
      <c r="D8" s="259">
        <v>608337</v>
      </c>
      <c r="E8" s="259">
        <f>'2.Bevételek_részletes'!L8</f>
        <v>640496.74300000002</v>
      </c>
      <c r="F8" s="1562">
        <f>'2.Bevételek_részletes'!N8</f>
        <v>640496.74300000002</v>
      </c>
      <c r="G8" s="1549" t="s">
        <v>295</v>
      </c>
      <c r="H8" s="671" t="s">
        <v>294</v>
      </c>
      <c r="I8" s="672">
        <v>704348</v>
      </c>
      <c r="J8" s="672">
        <v>661135</v>
      </c>
      <c r="K8" s="672">
        <f>'2.Kiadások_részletes '!L11</f>
        <v>846916</v>
      </c>
      <c r="L8" s="1538">
        <f>'2.Kiadások_részletes '!N11</f>
        <v>846916</v>
      </c>
    </row>
    <row r="9" spans="1:13" ht="30" customHeight="1" x14ac:dyDescent="0.3">
      <c r="A9" s="262" t="s">
        <v>653</v>
      </c>
      <c r="B9" s="256" t="s">
        <v>654</v>
      </c>
      <c r="C9" s="258">
        <v>4386</v>
      </c>
      <c r="D9" s="259">
        <v>4108</v>
      </c>
      <c r="E9" s="259"/>
      <c r="F9" s="1562"/>
      <c r="G9" s="1550" t="s">
        <v>297</v>
      </c>
      <c r="H9" s="260" t="s">
        <v>296</v>
      </c>
      <c r="I9" s="261">
        <v>197799</v>
      </c>
      <c r="J9" s="261">
        <v>150983</v>
      </c>
      <c r="K9" s="672">
        <f>'2.Kiadások_részletes '!L12</f>
        <v>171604</v>
      </c>
      <c r="L9" s="1538">
        <f>'2.Kiadások_részletes '!N12</f>
        <v>171604</v>
      </c>
    </row>
    <row r="10" spans="1:13" ht="45.75" customHeight="1" x14ac:dyDescent="0.3">
      <c r="A10" s="262" t="s">
        <v>382</v>
      </c>
      <c r="B10" s="256" t="s">
        <v>383</v>
      </c>
      <c r="C10" s="258">
        <f>294526-C9</f>
        <v>290140</v>
      </c>
      <c r="D10" s="259">
        <v>295546</v>
      </c>
      <c r="E10" s="259">
        <f>'2.Bevételek_részletes'!L9</f>
        <v>306247.81317500002</v>
      </c>
      <c r="F10" s="1562">
        <f>'2.Bevételek_részletes'!N9</f>
        <v>306247.81317500002</v>
      </c>
      <c r="G10" s="1550" t="s">
        <v>299</v>
      </c>
      <c r="H10" s="260" t="s">
        <v>298</v>
      </c>
      <c r="I10" s="261">
        <v>609828</v>
      </c>
      <c r="J10" s="261">
        <v>542049</v>
      </c>
      <c r="K10" s="672">
        <f>'2.Kiadások_részletes '!L13</f>
        <v>644816.74173999997</v>
      </c>
      <c r="L10" s="1538">
        <f>'2.Kiadások_részletes '!N13</f>
        <v>644816.74173999997</v>
      </c>
    </row>
    <row r="11" spans="1:13" ht="30" customHeight="1" x14ac:dyDescent="0.3">
      <c r="A11" s="263" t="s">
        <v>384</v>
      </c>
      <c r="B11" s="264" t="s">
        <v>385</v>
      </c>
      <c r="C11" s="265">
        <f>SUM(C8:C10)</f>
        <v>897008</v>
      </c>
      <c r="D11" s="265">
        <f>SUM(D8:D10)</f>
        <v>907991</v>
      </c>
      <c r="E11" s="265">
        <f t="shared" ref="E11:F11" si="0">SUM(E8:E10)</f>
        <v>946744.55617500003</v>
      </c>
      <c r="F11" s="1563">
        <f t="shared" si="0"/>
        <v>946744.55617500003</v>
      </c>
      <c r="G11" s="1551" t="s">
        <v>38</v>
      </c>
      <c r="H11" s="260" t="s">
        <v>300</v>
      </c>
      <c r="I11" s="261">
        <v>15673</v>
      </c>
      <c r="J11" s="261">
        <v>13544</v>
      </c>
      <c r="K11" s="672">
        <f>'2.Kiadások_részletes '!L14</f>
        <v>19450</v>
      </c>
      <c r="L11" s="1538">
        <f>'2.Kiadások_részletes '!N14</f>
        <v>19450</v>
      </c>
    </row>
    <row r="12" spans="1:13" ht="30" customHeight="1" x14ac:dyDescent="0.3">
      <c r="A12" s="262" t="s">
        <v>655</v>
      </c>
      <c r="B12" s="256" t="s">
        <v>153</v>
      </c>
      <c r="C12" s="258">
        <v>88151</v>
      </c>
      <c r="D12" s="267">
        <v>83839</v>
      </c>
      <c r="E12" s="267">
        <f>'2.Bevételek_részletes'!L13</f>
        <v>84500</v>
      </c>
      <c r="F12" s="1539">
        <f>'2.Bevételek_részletes'!N13</f>
        <v>84500</v>
      </c>
      <c r="G12" s="1552" t="s">
        <v>130</v>
      </c>
      <c r="H12" s="268" t="s">
        <v>129</v>
      </c>
      <c r="I12" s="257">
        <v>8712</v>
      </c>
      <c r="J12" s="258">
        <v>6659</v>
      </c>
      <c r="K12" s="258">
        <f>'2.Kiadások_részletes '!L15</f>
        <v>7050</v>
      </c>
      <c r="L12" s="1539">
        <f>'2.Kiadások_részletes '!N15</f>
        <v>7050</v>
      </c>
    </row>
    <row r="13" spans="1:13" ht="30" customHeight="1" x14ac:dyDescent="0.3">
      <c r="A13" s="262" t="s">
        <v>656</v>
      </c>
      <c r="B13" s="256" t="s">
        <v>111</v>
      </c>
      <c r="C13" s="258">
        <v>540326</v>
      </c>
      <c r="D13" s="267">
        <v>527337</v>
      </c>
      <c r="E13" s="267">
        <f>'2.Bevételek_részletes'!L14</f>
        <v>587500</v>
      </c>
      <c r="F13" s="1539">
        <f>'2.Bevételek_részletes'!N14</f>
        <v>587500</v>
      </c>
      <c r="G13" s="1552" t="s">
        <v>302</v>
      </c>
      <c r="H13" s="268" t="s">
        <v>301</v>
      </c>
      <c r="I13" s="257">
        <v>108468</v>
      </c>
      <c r="J13" s="258">
        <v>122405</v>
      </c>
      <c r="K13" s="258">
        <f>'2.Kiadások_részletes '!L16</f>
        <v>117211.31299999999</v>
      </c>
      <c r="L13" s="1539">
        <f>'2.Kiadások_részletes '!N16</f>
        <v>117211.31299999999</v>
      </c>
    </row>
    <row r="14" spans="1:13" ht="30" customHeight="1" x14ac:dyDescent="0.3">
      <c r="A14" s="262" t="s">
        <v>161</v>
      </c>
      <c r="B14" s="256" t="s">
        <v>392</v>
      </c>
      <c r="C14" s="258">
        <v>4166</v>
      </c>
      <c r="D14" s="259">
        <v>3990</v>
      </c>
      <c r="E14" s="267">
        <f>'2.Bevételek_részletes'!L15</f>
        <v>5188</v>
      </c>
      <c r="F14" s="1539">
        <f>'2.Bevételek_részletes'!N15</f>
        <v>5188</v>
      </c>
      <c r="G14" s="1552" t="s">
        <v>303</v>
      </c>
      <c r="H14" s="268" t="s">
        <v>304</v>
      </c>
      <c r="I14" s="257">
        <v>8964</v>
      </c>
      <c r="J14" s="258">
        <v>14355</v>
      </c>
      <c r="K14" s="258">
        <f>'2.Kiadások_részletes '!L17</f>
        <v>14820</v>
      </c>
      <c r="L14" s="1539">
        <f>'2.Kiadások_részletes '!N17</f>
        <v>14820</v>
      </c>
    </row>
    <row r="15" spans="1:13" ht="30" customHeight="1" x14ac:dyDescent="0.3">
      <c r="A15" s="263" t="s">
        <v>393</v>
      </c>
      <c r="B15" s="264" t="s">
        <v>394</v>
      </c>
      <c r="C15" s="265">
        <f>SUM(C12:C14)</f>
        <v>632643</v>
      </c>
      <c r="D15" s="265">
        <f>SUM(D12:D14)</f>
        <v>615166</v>
      </c>
      <c r="E15" s="265">
        <f>SUM(E12:E14)</f>
        <v>677188</v>
      </c>
      <c r="F15" s="1563">
        <f>SUM(F12:F14)</f>
        <v>677188</v>
      </c>
      <c r="G15" s="1553" t="s">
        <v>144</v>
      </c>
      <c r="H15" s="268" t="s">
        <v>776</v>
      </c>
      <c r="I15" s="269">
        <v>0</v>
      </c>
      <c r="J15" s="258">
        <v>0</v>
      </c>
      <c r="K15" s="258">
        <f>'2.Kiadások_részletes '!L18</f>
        <v>135448</v>
      </c>
      <c r="L15" s="1539">
        <f>'2.Kiadások_részletes '!N18</f>
        <v>135448</v>
      </c>
    </row>
    <row r="16" spans="1:13" ht="30" customHeight="1" x14ac:dyDescent="0.3">
      <c r="A16" s="270" t="s">
        <v>409</v>
      </c>
      <c r="B16" s="264" t="s">
        <v>410</v>
      </c>
      <c r="C16" s="265">
        <v>287691</v>
      </c>
      <c r="D16" s="266">
        <v>240753</v>
      </c>
      <c r="E16" s="266">
        <f>'2.Bevételek_részletes'!L25</f>
        <v>328678.32435999997</v>
      </c>
      <c r="F16" s="1540">
        <f>'2.Bevételek_részletes'!N25</f>
        <v>328678.32435999997</v>
      </c>
      <c r="G16" s="1551" t="s">
        <v>308</v>
      </c>
      <c r="H16" s="260" t="s">
        <v>307</v>
      </c>
      <c r="I16" s="261">
        <f>SUM(I12:I15)</f>
        <v>126144</v>
      </c>
      <c r="J16" s="261">
        <f>SUM(J12:J15)</f>
        <v>143419</v>
      </c>
      <c r="K16" s="261">
        <f>SUM(K12:K15)</f>
        <v>274529.31299999997</v>
      </c>
      <c r="L16" s="1540">
        <f>SUM(L12:L15)</f>
        <v>274529.31299999997</v>
      </c>
    </row>
    <row r="17" spans="1:12" ht="30" customHeight="1" x14ac:dyDescent="0.35">
      <c r="A17" s="263" t="s">
        <v>419</v>
      </c>
      <c r="B17" s="264" t="s">
        <v>420</v>
      </c>
      <c r="C17" s="265">
        <v>1767</v>
      </c>
      <c r="D17" s="266">
        <v>760</v>
      </c>
      <c r="E17" s="266">
        <f>'2.Bevételek_részletes'!L30</f>
        <v>0</v>
      </c>
      <c r="F17" s="1540">
        <f>'2.Bevételek_részletes'!N30</f>
        <v>0</v>
      </c>
      <c r="G17" s="1554" t="s">
        <v>330</v>
      </c>
      <c r="H17" s="281"/>
      <c r="I17" s="282">
        <f>SUM(I8,I9,I10,I11,I16)</f>
        <v>1653792</v>
      </c>
      <c r="J17" s="282">
        <f>SUM(J8,J9,J10,J11,J16)</f>
        <v>1511130</v>
      </c>
      <c r="K17" s="282">
        <f t="shared" ref="K17:L17" si="1">SUM(K8,K9,K10,K11,K16)</f>
        <v>1957316.0547400001</v>
      </c>
      <c r="L17" s="1541">
        <f t="shared" si="1"/>
        <v>1957316.0547400001</v>
      </c>
    </row>
    <row r="18" spans="1:12" ht="30" customHeight="1" x14ac:dyDescent="0.35">
      <c r="A18" s="283" t="s">
        <v>98</v>
      </c>
      <c r="B18" s="284"/>
      <c r="C18" s="282">
        <f>SUM(C11,C15,C16,C17)</f>
        <v>1819109</v>
      </c>
      <c r="D18" s="282">
        <f>SUM(D11,D15,D16,D17)</f>
        <v>1764670</v>
      </c>
      <c r="E18" s="282">
        <f>SUM(E11,E15,E16,E17)</f>
        <v>1952610.880535</v>
      </c>
      <c r="F18" s="1541">
        <f t="shared" ref="F18" si="2">SUM(F11,F15,F16,F17)</f>
        <v>1952610.880535</v>
      </c>
      <c r="G18" s="1555" t="s">
        <v>452</v>
      </c>
      <c r="H18" s="260" t="s">
        <v>309</v>
      </c>
      <c r="I18" s="257">
        <v>248503</v>
      </c>
      <c r="J18" s="258">
        <v>180467</v>
      </c>
      <c r="K18" s="258">
        <f>'2.Kiadások_részletes '!L21</f>
        <v>295900</v>
      </c>
      <c r="L18" s="1539">
        <f>'2.Kiadások_részletes '!N21</f>
        <v>295900</v>
      </c>
    </row>
    <row r="19" spans="1:12" ht="30" customHeight="1" x14ac:dyDescent="0.3">
      <c r="A19" s="263" t="s">
        <v>388</v>
      </c>
      <c r="B19" s="264" t="s">
        <v>389</v>
      </c>
      <c r="C19" s="258">
        <v>14073</v>
      </c>
      <c r="D19" s="259">
        <v>124397</v>
      </c>
      <c r="E19" s="259">
        <f>'2.Bevételek_részletes'!L12</f>
        <v>0</v>
      </c>
      <c r="F19" s="1562">
        <f>'2.Bevételek_részletes'!N12</f>
        <v>0</v>
      </c>
      <c r="G19" s="1551" t="s">
        <v>311</v>
      </c>
      <c r="H19" s="260" t="s">
        <v>310</v>
      </c>
      <c r="I19" s="257">
        <v>17723</v>
      </c>
      <c r="J19" s="258">
        <v>70078</v>
      </c>
      <c r="K19" s="258">
        <f>'2.Kiadások_részletes '!L22</f>
        <v>42263</v>
      </c>
      <c r="L19" s="1539">
        <f>'2.Kiadások_részletes '!N22</f>
        <v>42263</v>
      </c>
    </row>
    <row r="20" spans="1:12" ht="30" customHeight="1" x14ac:dyDescent="0.3">
      <c r="A20" s="263" t="s">
        <v>415</v>
      </c>
      <c r="B20" s="264" t="s">
        <v>416</v>
      </c>
      <c r="C20" s="258">
        <v>41434</v>
      </c>
      <c r="D20" s="259">
        <v>10170</v>
      </c>
      <c r="E20" s="259">
        <f>'2.Bevételek_részletes'!L28</f>
        <v>15750</v>
      </c>
      <c r="F20" s="1562">
        <f>'2.Bevételek_részletes'!N28</f>
        <v>15750</v>
      </c>
      <c r="G20" s="1551" t="s">
        <v>315</v>
      </c>
      <c r="H20" s="260" t="s">
        <v>314</v>
      </c>
      <c r="I20" s="257">
        <v>560</v>
      </c>
      <c r="J20" s="258">
        <v>0</v>
      </c>
      <c r="K20" s="258">
        <f>'2.Kiadások_részletes '!L25</f>
        <v>7846</v>
      </c>
      <c r="L20" s="1539">
        <f>'2.Kiadások_részletes '!N25</f>
        <v>7846</v>
      </c>
    </row>
    <row r="21" spans="1:12" ht="30" customHeight="1" x14ac:dyDescent="0.35">
      <c r="A21" s="263" t="s">
        <v>425</v>
      </c>
      <c r="B21" s="264" t="s">
        <v>426</v>
      </c>
      <c r="C21" s="272">
        <v>6319</v>
      </c>
      <c r="D21" s="273">
        <v>1366</v>
      </c>
      <c r="E21" s="273">
        <f>'2.Bevételek_részletes'!L33</f>
        <v>538</v>
      </c>
      <c r="F21" s="1543">
        <f>'2.Bevételek_részletes'!N33</f>
        <v>538</v>
      </c>
      <c r="G21" s="1554" t="s">
        <v>331</v>
      </c>
      <c r="H21" s="281"/>
      <c r="I21" s="282">
        <f>SUM(I18:I20)</f>
        <v>266786</v>
      </c>
      <c r="J21" s="282">
        <f>SUM(J18:J20)</f>
        <v>250545</v>
      </c>
      <c r="K21" s="282">
        <f t="shared" ref="K21:L21" si="3">SUM(K18:K20)</f>
        <v>346009</v>
      </c>
      <c r="L21" s="1541">
        <f t="shared" si="3"/>
        <v>346009</v>
      </c>
    </row>
    <row r="22" spans="1:12" ht="30" customHeight="1" x14ac:dyDescent="0.35">
      <c r="A22" s="283" t="s">
        <v>99</v>
      </c>
      <c r="B22" s="284"/>
      <c r="C22" s="282">
        <f>SUM(C19:C21)</f>
        <v>61826</v>
      </c>
      <c r="D22" s="282">
        <f>SUM(D19:D21)</f>
        <v>135933</v>
      </c>
      <c r="E22" s="282">
        <f>SUM(E19:E21)</f>
        <v>16288</v>
      </c>
      <c r="F22" s="1541">
        <f t="shared" ref="F22" si="4">SUM(F19:F21)</f>
        <v>16288</v>
      </c>
      <c r="G22" s="1556" t="s">
        <v>317</v>
      </c>
      <c r="H22" s="290" t="s">
        <v>316</v>
      </c>
      <c r="I22" s="287">
        <f>SUM(I17,I21)</f>
        <v>1920578</v>
      </c>
      <c r="J22" s="287">
        <f>SUM(J17,J21)</f>
        <v>1761675</v>
      </c>
      <c r="K22" s="287">
        <f t="shared" ref="K22:L22" si="5">SUM(K17,K21)</f>
        <v>2303325.0547400001</v>
      </c>
      <c r="L22" s="1542">
        <f t="shared" si="5"/>
        <v>2303325.0547400001</v>
      </c>
    </row>
    <row r="23" spans="1:12" ht="30" customHeight="1" x14ac:dyDescent="0.3">
      <c r="A23" s="285" t="s">
        <v>427</v>
      </c>
      <c r="B23" s="286" t="s">
        <v>428</v>
      </c>
      <c r="C23" s="287">
        <f>SUM(C18,C22)</f>
        <v>1880935</v>
      </c>
      <c r="D23" s="287">
        <f>SUM(D18,D22)</f>
        <v>1900603</v>
      </c>
      <c r="E23" s="287">
        <f t="shared" ref="E23:F23" si="6">SUM(E18,E22)</f>
        <v>1968898.880535</v>
      </c>
      <c r="F23" s="1542">
        <f t="shared" si="6"/>
        <v>1968898.880535</v>
      </c>
      <c r="G23" s="1557" t="s">
        <v>319</v>
      </c>
      <c r="H23" s="274" t="s">
        <v>318</v>
      </c>
      <c r="I23" s="271">
        <v>1320</v>
      </c>
      <c r="J23" s="271">
        <v>1320</v>
      </c>
      <c r="K23" s="271">
        <f>'2.Kiadások_részletes '!L30</f>
        <v>1320</v>
      </c>
      <c r="L23" s="1543">
        <f>'2.Kiadások_részletes '!N30</f>
        <v>1320</v>
      </c>
    </row>
    <row r="24" spans="1:12" ht="30" customHeight="1" x14ac:dyDescent="0.3">
      <c r="A24" s="275" t="s">
        <v>433</v>
      </c>
      <c r="B24" s="274" t="s">
        <v>434</v>
      </c>
      <c r="C24" s="258">
        <v>0</v>
      </c>
      <c r="D24" s="259">
        <v>0</v>
      </c>
      <c r="E24" s="259">
        <f>'2.Bevételek_részletes'!L39</f>
        <v>0</v>
      </c>
      <c r="F24" s="1562">
        <f>'2.Bevételek_részletes'!N39</f>
        <v>0</v>
      </c>
      <c r="G24" s="1558" t="s">
        <v>321</v>
      </c>
      <c r="H24" s="274" t="s">
        <v>320</v>
      </c>
      <c r="I24" s="271">
        <v>0</v>
      </c>
      <c r="J24" s="271">
        <v>350000</v>
      </c>
      <c r="K24" s="271"/>
      <c r="L24" s="1543"/>
    </row>
    <row r="25" spans="1:12" ht="30" customHeight="1" x14ac:dyDescent="0.3">
      <c r="A25" s="276" t="s">
        <v>648</v>
      </c>
      <c r="B25" s="274" t="s">
        <v>649</v>
      </c>
      <c r="C25" s="258">
        <v>0</v>
      </c>
      <c r="D25" s="259">
        <v>200000</v>
      </c>
      <c r="E25" s="259">
        <f>'2.Bevételek_részletes'!N40</f>
        <v>150000</v>
      </c>
      <c r="F25" s="1562">
        <f>'2.Bevételek_részletes'!N40</f>
        <v>150000</v>
      </c>
      <c r="G25" s="1558" t="s">
        <v>713</v>
      </c>
      <c r="H25" s="274" t="s">
        <v>714</v>
      </c>
      <c r="I25" s="271">
        <v>19661</v>
      </c>
      <c r="J25" s="271">
        <v>19955</v>
      </c>
      <c r="K25" s="271">
        <f>'2.Kiadások_részletes '!L32</f>
        <v>21436</v>
      </c>
      <c r="L25" s="1543">
        <f>'2.Kiadások_részletes '!N32</f>
        <v>21436</v>
      </c>
    </row>
    <row r="26" spans="1:12" ht="30" customHeight="1" x14ac:dyDescent="0.3">
      <c r="A26" s="262" t="s">
        <v>438</v>
      </c>
      <c r="B26" s="274" t="s">
        <v>439</v>
      </c>
      <c r="C26" s="258">
        <v>485136</v>
      </c>
      <c r="D26" s="259">
        <v>444465</v>
      </c>
      <c r="E26" s="259">
        <f>'2.Bevételek_részletes'!L43</f>
        <v>207182</v>
      </c>
      <c r="F26" s="1562">
        <f>'2.Bevételek_részletes'!N43</f>
        <v>207182</v>
      </c>
      <c r="G26" s="1558" t="s">
        <v>333</v>
      </c>
      <c r="H26" s="274" t="s">
        <v>332</v>
      </c>
      <c r="I26" s="277">
        <v>824527</v>
      </c>
      <c r="J26" s="277">
        <v>756025</v>
      </c>
      <c r="K26" s="277">
        <f>'2.Kiadások_részletes '!L33</f>
        <v>945572.37173999997</v>
      </c>
      <c r="L26" s="1544">
        <f>'2.Kiadások_részletes '!N33</f>
        <v>0</v>
      </c>
    </row>
    <row r="27" spans="1:12" ht="30" customHeight="1" x14ac:dyDescent="0.3">
      <c r="A27" s="262" t="s">
        <v>715</v>
      </c>
      <c r="B27" s="274" t="s">
        <v>716</v>
      </c>
      <c r="C27" s="258">
        <v>19955</v>
      </c>
      <c r="D27" s="259">
        <v>0</v>
      </c>
      <c r="E27" s="259"/>
      <c r="F27" s="1562"/>
      <c r="G27" s="1559" t="s">
        <v>323</v>
      </c>
      <c r="H27" s="278" t="s">
        <v>322</v>
      </c>
      <c r="I27" s="459">
        <f>SUM(I23:I26)</f>
        <v>845508</v>
      </c>
      <c r="J27" s="459">
        <f>SUM(J23:J26)</f>
        <v>1127300</v>
      </c>
      <c r="K27" s="459">
        <f t="shared" ref="K27:L27" si="7">SUM(K23:K26)</f>
        <v>968328.37173999997</v>
      </c>
      <c r="L27" s="1545">
        <f t="shared" si="7"/>
        <v>22756</v>
      </c>
    </row>
    <row r="28" spans="1:12" ht="30" customHeight="1" x14ac:dyDescent="0.3">
      <c r="A28" s="262" t="s">
        <v>521</v>
      </c>
      <c r="B28" s="274" t="s">
        <v>441</v>
      </c>
      <c r="C28" s="258">
        <v>824527</v>
      </c>
      <c r="D28" s="259">
        <v>756025</v>
      </c>
      <c r="E28" s="259">
        <f>'2.Bevételek_részletes'!L44</f>
        <v>945572.37173999997</v>
      </c>
      <c r="F28" s="1562">
        <f>'2.Bevételek_részletes'!N44</f>
        <v>0</v>
      </c>
      <c r="G28" s="1559" t="s">
        <v>325</v>
      </c>
      <c r="H28" s="278" t="s">
        <v>324</v>
      </c>
      <c r="I28" s="277">
        <v>0</v>
      </c>
      <c r="J28" s="277">
        <v>0</v>
      </c>
      <c r="K28" s="277"/>
      <c r="L28" s="1544"/>
    </row>
    <row r="29" spans="1:12" ht="18.75" x14ac:dyDescent="0.3">
      <c r="A29" s="270" t="s">
        <v>444</v>
      </c>
      <c r="B29" s="278" t="s">
        <v>445</v>
      </c>
      <c r="C29" s="265">
        <f>SUM(C24:C28)</f>
        <v>1329618</v>
      </c>
      <c r="D29" s="265">
        <f>SUM(D24:D28)</f>
        <v>1400490</v>
      </c>
      <c r="E29" s="265">
        <f>SUM(E24:E28)</f>
        <v>1302754.3717399999</v>
      </c>
      <c r="F29" s="1563">
        <f>SUM(F24:F28)</f>
        <v>357182</v>
      </c>
      <c r="G29" s="1560" t="s">
        <v>41</v>
      </c>
      <c r="H29" s="289" t="s">
        <v>328</v>
      </c>
      <c r="I29" s="291">
        <f>SUM(I27:I28)</f>
        <v>845508</v>
      </c>
      <c r="J29" s="291">
        <f>SUM(J27:J28)</f>
        <v>1127300</v>
      </c>
      <c r="K29" s="291">
        <f t="shared" ref="K29:L29" si="8">SUM(K27:K28)</f>
        <v>968328.37173999997</v>
      </c>
      <c r="L29" s="1546">
        <f t="shared" si="8"/>
        <v>22756</v>
      </c>
    </row>
    <row r="30" spans="1:12" ht="30" customHeight="1" thickBot="1" x14ac:dyDescent="0.35">
      <c r="A30" s="296" t="s">
        <v>650</v>
      </c>
      <c r="B30" s="278" t="s">
        <v>651</v>
      </c>
      <c r="C30" s="257">
        <v>0</v>
      </c>
      <c r="D30" s="257"/>
      <c r="E30" s="257"/>
      <c r="F30" s="1562"/>
      <c r="G30" s="1561" t="s">
        <v>352</v>
      </c>
      <c r="H30" s="292"/>
      <c r="I30" s="293">
        <f>SUM(I22,I29)</f>
        <v>2766086</v>
      </c>
      <c r="J30" s="293">
        <f>SUM(J22,J29)</f>
        <v>2888975</v>
      </c>
      <c r="K30" s="293">
        <f t="shared" ref="K30:L30" si="9">SUM(K22,K29)</f>
        <v>3271653.4264799999</v>
      </c>
      <c r="L30" s="1547">
        <f t="shared" si="9"/>
        <v>2326081.0547400001</v>
      </c>
    </row>
    <row r="31" spans="1:12" ht="30" customHeight="1" x14ac:dyDescent="0.3">
      <c r="A31" s="270" t="s">
        <v>446</v>
      </c>
      <c r="B31" s="278" t="s">
        <v>447</v>
      </c>
      <c r="C31" s="257">
        <v>0</v>
      </c>
      <c r="D31" s="257"/>
      <c r="E31" s="257"/>
      <c r="F31" s="1562"/>
      <c r="G31" s="251"/>
      <c r="H31" s="251"/>
      <c r="I31" s="279"/>
      <c r="J31" s="279"/>
    </row>
    <row r="32" spans="1:12" ht="39.75" customHeight="1" x14ac:dyDescent="0.3">
      <c r="A32" s="288" t="s">
        <v>448</v>
      </c>
      <c r="B32" s="289" t="s">
        <v>449</v>
      </c>
      <c r="C32" s="287">
        <f>SUM(C29:C31)</f>
        <v>1329618</v>
      </c>
      <c r="D32" s="287">
        <f>SUM(D29:D31)</f>
        <v>1400490</v>
      </c>
      <c r="E32" s="287">
        <f t="shared" ref="E32:F32" si="10">SUM(E29:E31)</f>
        <v>1302754.3717399999</v>
      </c>
      <c r="F32" s="1542">
        <f t="shared" si="10"/>
        <v>357182</v>
      </c>
      <c r="G32" s="251"/>
      <c r="H32" s="251"/>
      <c r="I32" s="280"/>
      <c r="J32" s="280"/>
    </row>
    <row r="33" spans="1:12" ht="20.25" thickBot="1" x14ac:dyDescent="0.4">
      <c r="A33" s="294" t="s">
        <v>362</v>
      </c>
      <c r="B33" s="292"/>
      <c r="C33" s="295">
        <f>SUM(C32,C23)</f>
        <v>3210553</v>
      </c>
      <c r="D33" s="295">
        <f>SUM(D32,D23)</f>
        <v>3301093</v>
      </c>
      <c r="E33" s="295">
        <f>SUM(E32,E23)</f>
        <v>3271653.2522749999</v>
      </c>
      <c r="F33" s="1564">
        <f>SUM(F32,F23)</f>
        <v>2326080.880535</v>
      </c>
      <c r="G33" s="251"/>
      <c r="H33" s="251"/>
      <c r="I33" s="251"/>
      <c r="J33" s="251"/>
    </row>
    <row r="34" spans="1:12" ht="18.75" x14ac:dyDescent="0.3">
      <c r="G34" s="251"/>
      <c r="H34" s="251"/>
      <c r="I34" s="251"/>
      <c r="J34" s="251"/>
    </row>
    <row r="35" spans="1:12" x14ac:dyDescent="0.25">
      <c r="E35" s="780"/>
      <c r="F35" s="780"/>
    </row>
    <row r="36" spans="1:12" x14ac:dyDescent="0.25">
      <c r="C36" s="780"/>
      <c r="E36" s="780"/>
      <c r="F36" s="780"/>
      <c r="K36" s="780"/>
      <c r="L36" s="780"/>
    </row>
    <row r="37" spans="1:12" x14ac:dyDescent="0.25">
      <c r="I37" s="780"/>
      <c r="K37" s="780"/>
      <c r="L37" s="780"/>
    </row>
    <row r="38" spans="1:12" x14ac:dyDescent="0.25">
      <c r="E38" s="780"/>
      <c r="F38" s="780"/>
      <c r="I38" s="780"/>
    </row>
  </sheetData>
  <mergeCells count="4">
    <mergeCell ref="A1:M1"/>
    <mergeCell ref="A2:M2"/>
    <mergeCell ref="A3:M3"/>
    <mergeCell ref="A4:M4"/>
  </mergeCells>
  <printOptions horizontalCentered="1"/>
  <pageMargins left="0.25" right="0.25" top="0.75" bottom="0.75" header="0.3" footer="0.3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  <pageSetUpPr fitToPage="1"/>
  </sheetPr>
  <dimension ref="A1:P72"/>
  <sheetViews>
    <sheetView view="pageBreakPreview" zoomScale="84" zoomScaleNormal="100" zoomScaleSheetLayoutView="84" workbookViewId="0">
      <pane xSplit="2" ySplit="7" topLeftCell="C8" activePane="bottomRight" state="frozen"/>
      <selection activeCell="C26" sqref="C26"/>
      <selection pane="topRight" activeCell="C26" sqref="C26"/>
      <selection pane="bottomLeft" activeCell="C26" sqref="C26"/>
      <selection pane="bottomRight" sqref="A1:N1"/>
    </sheetView>
  </sheetViews>
  <sheetFormatPr defaultRowHeight="18.75" x14ac:dyDescent="0.3"/>
  <cols>
    <col min="1" max="1" width="10.28515625" style="301" bestFit="1" customWidth="1"/>
    <col min="2" max="2" width="88" style="301" customWidth="1"/>
    <col min="3" max="4" width="18.42578125" style="301" customWidth="1"/>
    <col min="5" max="6" width="17.42578125" style="301" customWidth="1"/>
    <col min="7" max="7" width="19.28515625" style="301" customWidth="1"/>
    <col min="8" max="8" width="18.7109375" style="301" customWidth="1"/>
    <col min="9" max="10" width="17.42578125" style="301" customWidth="1"/>
    <col min="11" max="12" width="20.42578125" style="301" customWidth="1"/>
    <col min="13" max="14" width="21" style="301" customWidth="1"/>
    <col min="15" max="15" width="9.7109375" style="301" bestFit="1" customWidth="1"/>
    <col min="16" max="16" width="11.7109375" style="301" bestFit="1" customWidth="1"/>
    <col min="17" max="16384" width="9.140625" style="301"/>
  </cols>
  <sheetData>
    <row r="1" spans="1:16" ht="21" x14ac:dyDescent="0.35">
      <c r="A1" s="1824" t="str">
        <f>Tartalomjegyzék_2018!A1</f>
        <v>Pilisvörösvár Város Önkormányzata Képviselő-testületének 2/2018. (II. 9.) önkormányzati rendelete</v>
      </c>
      <c r="B1" s="1824"/>
      <c r="C1" s="1824"/>
      <c r="D1" s="1824"/>
      <c r="E1" s="1824"/>
      <c r="F1" s="1824"/>
      <c r="G1" s="1825"/>
      <c r="H1" s="1825"/>
      <c r="I1" s="1825"/>
      <c r="J1" s="1825"/>
      <c r="K1" s="1826"/>
      <c r="L1" s="1826"/>
      <c r="M1" s="1826"/>
      <c r="N1" s="1827"/>
    </row>
    <row r="2" spans="1:16" ht="21" customHeight="1" x14ac:dyDescent="0.35">
      <c r="A2" s="1824" t="str">
        <f>Tartalomjegyzék_2018!A2</f>
        <v>az Önkormányzat  2018. évi költségvetéséről</v>
      </c>
      <c r="B2" s="1824"/>
      <c r="C2" s="1824"/>
      <c r="D2" s="1824"/>
      <c r="E2" s="1824"/>
      <c r="F2" s="1824"/>
      <c r="G2" s="1825"/>
      <c r="H2" s="1825"/>
      <c r="I2" s="1825"/>
      <c r="J2" s="1825"/>
      <c r="K2" s="1826"/>
      <c r="L2" s="1826"/>
      <c r="M2" s="1826"/>
      <c r="N2" s="1827"/>
    </row>
    <row r="3" spans="1:16" ht="21" customHeight="1" x14ac:dyDescent="0.35">
      <c r="A3" s="1824" t="str">
        <f>Tartalomjegyzék_2018!B8</f>
        <v xml:space="preserve">Pilisvörösvár Város Önkormányzata működési és felhalmozási célú bevételek részletes bemutatása </v>
      </c>
      <c r="B3" s="1824"/>
      <c r="C3" s="1824"/>
      <c r="D3" s="1824"/>
      <c r="E3" s="1824"/>
      <c r="F3" s="1824"/>
      <c r="G3" s="1825"/>
      <c r="H3" s="1825"/>
      <c r="I3" s="1825"/>
      <c r="J3" s="1825"/>
      <c r="K3" s="1826"/>
      <c r="L3" s="1826"/>
      <c r="M3" s="1826"/>
      <c r="N3" s="1827"/>
    </row>
    <row r="4" spans="1:16" ht="20.100000000000001" customHeight="1" x14ac:dyDescent="0.3">
      <c r="A4" s="706"/>
      <c r="B4" s="706"/>
      <c r="C4" s="706"/>
      <c r="D4" s="733"/>
      <c r="E4" s="706"/>
      <c r="F4" s="733"/>
      <c r="G4" s="707"/>
      <c r="H4" s="707"/>
      <c r="I4" s="707"/>
      <c r="J4" s="707"/>
      <c r="K4" s="705"/>
      <c r="L4" s="1074"/>
      <c r="N4" s="1036" t="s">
        <v>10</v>
      </c>
    </row>
    <row r="5" spans="1:16" x14ac:dyDescent="0.3">
      <c r="A5" s="297"/>
      <c r="B5" s="297"/>
      <c r="C5" s="701"/>
      <c r="D5" s="733"/>
      <c r="E5" s="701"/>
      <c r="F5" s="733"/>
      <c r="G5" s="701"/>
      <c r="H5" s="733"/>
      <c r="I5" s="701"/>
      <c r="J5" s="733"/>
      <c r="N5" s="317"/>
    </row>
    <row r="6" spans="1:16" ht="20.100000000000001" customHeight="1" thickBot="1" x14ac:dyDescent="0.35">
      <c r="N6" s="996" t="s">
        <v>329</v>
      </c>
    </row>
    <row r="7" spans="1:16" s="102" customFormat="1" ht="100.5" customHeight="1" thickBot="1" x14ac:dyDescent="0.25">
      <c r="A7" s="1351" t="s">
        <v>370</v>
      </c>
      <c r="B7" s="1352" t="s">
        <v>365</v>
      </c>
      <c r="C7" s="1353" t="s">
        <v>856</v>
      </c>
      <c r="D7" s="1354" t="s">
        <v>952</v>
      </c>
      <c r="E7" s="1355" t="s">
        <v>857</v>
      </c>
      <c r="F7" s="1356" t="s">
        <v>953</v>
      </c>
      <c r="G7" s="1353" t="s">
        <v>858</v>
      </c>
      <c r="H7" s="1354" t="s">
        <v>954</v>
      </c>
      <c r="I7" s="1355" t="s">
        <v>859</v>
      </c>
      <c r="J7" s="1356" t="s">
        <v>955</v>
      </c>
      <c r="K7" s="1353" t="s">
        <v>860</v>
      </c>
      <c r="L7" s="1354" t="s">
        <v>956</v>
      </c>
      <c r="M7" s="1355" t="s">
        <v>861</v>
      </c>
      <c r="N7" s="1354" t="s">
        <v>957</v>
      </c>
      <c r="O7" s="314"/>
      <c r="P7" s="314"/>
    </row>
    <row r="8" spans="1:16" ht="18.75" customHeight="1" x14ac:dyDescent="0.3">
      <c r="A8" s="1345" t="s">
        <v>381</v>
      </c>
      <c r="B8" s="1346" t="s">
        <v>380</v>
      </c>
      <c r="C8" s="1573">
        <f>'12. Támogatási bevételek(B1,B2)'!D13</f>
        <v>604691.75899999996</v>
      </c>
      <c r="D8" s="1574">
        <f>'12. Támogatási bevételek(B1,B2)'!E13</f>
        <v>640496.74300000002</v>
      </c>
      <c r="E8" s="1347">
        <f>'12. Támogatási bevételek(B1,B2)'!G13</f>
        <v>0</v>
      </c>
      <c r="F8" s="1348">
        <f>'12. Támogatási bevételek(B1,B2)'!H13</f>
        <v>0</v>
      </c>
      <c r="G8" s="1349">
        <v>0</v>
      </c>
      <c r="H8" s="1350">
        <v>0</v>
      </c>
      <c r="I8" s="1347">
        <v>0</v>
      </c>
      <c r="J8" s="1348">
        <v>0</v>
      </c>
      <c r="K8" s="1349">
        <f>C8+E8+G8+I8</f>
        <v>604691.75899999996</v>
      </c>
      <c r="L8" s="1350">
        <f>D8+F8+H8+J8</f>
        <v>640496.74300000002</v>
      </c>
      <c r="M8" s="1347">
        <f>C8+E8+G8+I8</f>
        <v>604691.75899999996</v>
      </c>
      <c r="N8" s="1350">
        <f>D8+F8+H8+J8</f>
        <v>640496.74300000002</v>
      </c>
      <c r="O8" s="303"/>
    </row>
    <row r="9" spans="1:16" ht="18.75" customHeight="1" x14ac:dyDescent="0.3">
      <c r="A9" s="304" t="s">
        <v>383</v>
      </c>
      <c r="B9" s="1324" t="s">
        <v>382</v>
      </c>
      <c r="C9" s="1575">
        <f>'12. Támogatási bevételek(B1,B2)'!D17</f>
        <v>13206</v>
      </c>
      <c r="D9" s="1576">
        <f>'12. Támogatási bevételek(B1,B2)'!E17</f>
        <v>10747.813174999999</v>
      </c>
      <c r="E9" s="1329">
        <f>'12. Támogatási bevételek(B1,B2)'!G17</f>
        <v>0</v>
      </c>
      <c r="F9" s="1337">
        <f>'12. Támogatási bevételek(B1,B2)'!H17</f>
        <v>0</v>
      </c>
      <c r="G9" s="863">
        <v>262500</v>
      </c>
      <c r="H9" s="864">
        <f>'12. Támogatási bevételek(B1,B2)'!K16</f>
        <v>295500</v>
      </c>
      <c r="I9" s="1329">
        <f>'3. Gesz költségvetés'!M10</f>
        <v>0</v>
      </c>
      <c r="J9" s="1337">
        <f>'3. Gesz költségvetés'!N10</f>
        <v>0</v>
      </c>
      <c r="K9" s="863">
        <f>C9+E9+G9+I9</f>
        <v>275706</v>
      </c>
      <c r="L9" s="864">
        <f>D9+F9+H9+J9</f>
        <v>306247.81317500002</v>
      </c>
      <c r="M9" s="1329">
        <f>C9+E9+G9+I9</f>
        <v>275706</v>
      </c>
      <c r="N9" s="864">
        <f>D9+F9+H9+J9</f>
        <v>306247.81317500002</v>
      </c>
      <c r="O9" s="303"/>
    </row>
    <row r="10" spans="1:16" ht="18.75" customHeight="1" x14ac:dyDescent="0.3">
      <c r="A10" s="305" t="s">
        <v>385</v>
      </c>
      <c r="B10" s="1325" t="s">
        <v>384</v>
      </c>
      <c r="C10" s="865">
        <f>SUM(C8:C9)</f>
        <v>617897.75899999996</v>
      </c>
      <c r="D10" s="866">
        <f>SUM(D8:D9)</f>
        <v>651244.55617500003</v>
      </c>
      <c r="E10" s="1330">
        <f t="shared" ref="E10:G10" si="0">SUM(E8:E9)</f>
        <v>0</v>
      </c>
      <c r="F10" s="1338">
        <f t="shared" ref="F10" si="1">SUM(F8:F9)</f>
        <v>0</v>
      </c>
      <c r="G10" s="865">
        <f t="shared" si="0"/>
        <v>262500</v>
      </c>
      <c r="H10" s="866">
        <f t="shared" ref="H10" si="2">SUM(H8:H9)</f>
        <v>295500</v>
      </c>
      <c r="I10" s="1330">
        <f t="shared" ref="I10:J10" si="3">SUM(I8:I9)</f>
        <v>0</v>
      </c>
      <c r="J10" s="1338">
        <f t="shared" si="3"/>
        <v>0</v>
      </c>
      <c r="K10" s="865">
        <f t="shared" ref="K10:L10" si="4">SUM(K8:K9)</f>
        <v>880397.75899999996</v>
      </c>
      <c r="L10" s="866">
        <f t="shared" si="4"/>
        <v>946744.55617500003</v>
      </c>
      <c r="M10" s="1330">
        <f>SUM(M8:M9)</f>
        <v>880397.75899999996</v>
      </c>
      <c r="N10" s="866">
        <f>SUM(N8:N9)</f>
        <v>946744.55617500003</v>
      </c>
      <c r="O10" s="303"/>
    </row>
    <row r="11" spans="1:16" ht="18.75" customHeight="1" x14ac:dyDescent="0.3">
      <c r="A11" s="304" t="s">
        <v>387</v>
      </c>
      <c r="B11" s="1324" t="s">
        <v>386</v>
      </c>
      <c r="C11" s="863">
        <f>'12. Támogatási bevételek(B1,B2)'!D21</f>
        <v>0</v>
      </c>
      <c r="D11" s="864">
        <f>'12. Támogatási bevételek(B1,B2)'!E21</f>
        <v>0</v>
      </c>
      <c r="E11" s="1329">
        <f>'12. Támogatási bevételek(B1,B2)'!G21</f>
        <v>0</v>
      </c>
      <c r="F11" s="1337">
        <f>'12. Támogatási bevételek(B1,B2)'!H21</f>
        <v>0</v>
      </c>
      <c r="G11" s="863"/>
      <c r="H11" s="864">
        <f>'12. Támogatási bevételek(B1,B2)'!K21</f>
        <v>0</v>
      </c>
      <c r="I11" s="1329">
        <f>'12. Támogatási bevételek(B1,B2)'!P21</f>
        <v>0</v>
      </c>
      <c r="J11" s="1337">
        <f>'12. Támogatási bevételek(B1,B2)'!N21</f>
        <v>0</v>
      </c>
      <c r="K11" s="863">
        <f>C11+E11+G11+I11</f>
        <v>0</v>
      </c>
      <c r="L11" s="864">
        <f>D11+F11+H11+J11</f>
        <v>0</v>
      </c>
      <c r="M11" s="1329">
        <f>'12. Támogatási bevételek(B1,B2)'!S21</f>
        <v>0</v>
      </c>
      <c r="N11" s="864">
        <f>'12. Támogatási bevételek(B1,B2)'!T21</f>
        <v>0</v>
      </c>
      <c r="O11" s="303"/>
    </row>
    <row r="12" spans="1:16" ht="18.75" customHeight="1" x14ac:dyDescent="0.3">
      <c r="A12" s="305" t="s">
        <v>389</v>
      </c>
      <c r="B12" s="1325" t="s">
        <v>388</v>
      </c>
      <c r="C12" s="865">
        <f>SUM(C11)</f>
        <v>0</v>
      </c>
      <c r="D12" s="866">
        <f>SUM(D11)</f>
        <v>0</v>
      </c>
      <c r="E12" s="1330">
        <f t="shared" ref="E12:M12" si="5">SUM(E11)</f>
        <v>0</v>
      </c>
      <c r="F12" s="1338">
        <f t="shared" ref="F12" si="6">SUM(F11)</f>
        <v>0</v>
      </c>
      <c r="G12" s="865">
        <f t="shared" si="5"/>
        <v>0</v>
      </c>
      <c r="H12" s="866">
        <f t="shared" ref="H12" si="7">SUM(H11)</f>
        <v>0</v>
      </c>
      <c r="I12" s="1330">
        <f t="shared" ref="I12:J12" si="8">SUM(I11)</f>
        <v>0</v>
      </c>
      <c r="J12" s="1338">
        <f t="shared" si="8"/>
        <v>0</v>
      </c>
      <c r="K12" s="865">
        <f t="shared" si="5"/>
        <v>0</v>
      </c>
      <c r="L12" s="866">
        <f t="shared" ref="L12" si="9">SUM(L11)</f>
        <v>0</v>
      </c>
      <c r="M12" s="1330">
        <f t="shared" si="5"/>
        <v>0</v>
      </c>
      <c r="N12" s="866">
        <f t="shared" ref="N12" si="10">SUM(N11)</f>
        <v>0</v>
      </c>
      <c r="O12" s="303"/>
    </row>
    <row r="13" spans="1:16" ht="18.75" customHeight="1" x14ac:dyDescent="0.3">
      <c r="A13" s="304" t="s">
        <v>153</v>
      </c>
      <c r="B13" s="1324" t="s">
        <v>165</v>
      </c>
      <c r="C13" s="863">
        <f>'15. Működési bev. (B3,B4)'!D9</f>
        <v>86000</v>
      </c>
      <c r="D13" s="864">
        <f>'15. Működési bev. (B3,B4)'!E9</f>
        <v>84500</v>
      </c>
      <c r="E13" s="1329">
        <f>'15. Működési bev. (B3,B4)'!F9</f>
        <v>0</v>
      </c>
      <c r="F13" s="1337">
        <f>'15. Működési bev. (B3,B4)'!G9</f>
        <v>0</v>
      </c>
      <c r="G13" s="863"/>
      <c r="H13" s="864"/>
      <c r="I13" s="1329"/>
      <c r="J13" s="1337"/>
      <c r="K13" s="863">
        <f t="shared" ref="K13:L15" si="11">C13+E13+G13+I13</f>
        <v>86000</v>
      </c>
      <c r="L13" s="864">
        <f t="shared" si="11"/>
        <v>84500</v>
      </c>
      <c r="M13" s="1329">
        <f t="shared" ref="M13:N15" si="12">C13+E13+G13+I13</f>
        <v>86000</v>
      </c>
      <c r="N13" s="864">
        <f t="shared" si="12"/>
        <v>84500</v>
      </c>
      <c r="O13" s="303"/>
    </row>
    <row r="14" spans="1:16" ht="18.75" customHeight="1" x14ac:dyDescent="0.3">
      <c r="A14" s="306" t="s">
        <v>111</v>
      </c>
      <c r="B14" s="1194" t="s">
        <v>164</v>
      </c>
      <c r="C14" s="863">
        <f>'15. Működési bev. (B3,B4)'!D13</f>
        <v>540400</v>
      </c>
      <c r="D14" s="864">
        <f>'15. Működési bev. (B3,B4)'!E13</f>
        <v>587500</v>
      </c>
      <c r="E14" s="1329">
        <f>'15. Működési bev. (B3,B4)'!F13</f>
        <v>0</v>
      </c>
      <c r="F14" s="1337">
        <f>'15. Működési bev. (B3,B4)'!G13</f>
        <v>0</v>
      </c>
      <c r="G14" s="863"/>
      <c r="H14" s="864"/>
      <c r="I14" s="1329"/>
      <c r="J14" s="1337"/>
      <c r="K14" s="863">
        <f t="shared" si="11"/>
        <v>540400</v>
      </c>
      <c r="L14" s="864">
        <f t="shared" si="11"/>
        <v>587500</v>
      </c>
      <c r="M14" s="1329">
        <f t="shared" si="12"/>
        <v>540400</v>
      </c>
      <c r="N14" s="864">
        <f t="shared" si="12"/>
        <v>587500</v>
      </c>
      <c r="O14" s="303"/>
    </row>
    <row r="15" spans="1:16" ht="36" customHeight="1" x14ac:dyDescent="0.3">
      <c r="A15" s="306" t="s">
        <v>392</v>
      </c>
      <c r="B15" s="1194" t="s">
        <v>39</v>
      </c>
      <c r="C15" s="863">
        <f>'15. Működési bev. (B3,B4)'!D19</f>
        <v>5100</v>
      </c>
      <c r="D15" s="864">
        <f>'15. Működési bev. (B3,B4)'!E19</f>
        <v>4400</v>
      </c>
      <c r="E15" s="1329">
        <f>'15. Működési bev. (B3,B4)'!F19</f>
        <v>700</v>
      </c>
      <c r="F15" s="1337">
        <f>'15. Működési bev. (B3,B4)'!G19</f>
        <v>788</v>
      </c>
      <c r="G15" s="863"/>
      <c r="H15" s="864"/>
      <c r="I15" s="1329"/>
      <c r="J15" s="1337"/>
      <c r="K15" s="863">
        <f t="shared" si="11"/>
        <v>5800</v>
      </c>
      <c r="L15" s="864">
        <f t="shared" si="11"/>
        <v>5188</v>
      </c>
      <c r="M15" s="1329">
        <f t="shared" si="12"/>
        <v>5800</v>
      </c>
      <c r="N15" s="864">
        <f t="shared" si="12"/>
        <v>5188</v>
      </c>
      <c r="O15" s="303"/>
    </row>
    <row r="16" spans="1:16" ht="18.75" customHeight="1" x14ac:dyDescent="0.3">
      <c r="A16" s="305" t="s">
        <v>394</v>
      </c>
      <c r="B16" s="1325" t="s">
        <v>393</v>
      </c>
      <c r="C16" s="865">
        <f t="shared" ref="C16:F16" si="13">SUM(C13:C15)</f>
        <v>631500</v>
      </c>
      <c r="D16" s="866">
        <f t="shared" si="13"/>
        <v>676400</v>
      </c>
      <c r="E16" s="1330">
        <f t="shared" si="13"/>
        <v>700</v>
      </c>
      <c r="F16" s="1338">
        <f t="shared" si="13"/>
        <v>788</v>
      </c>
      <c r="G16" s="865">
        <f t="shared" ref="G16" si="14">SUM(G13:G15)</f>
        <v>0</v>
      </c>
      <c r="H16" s="866">
        <f t="shared" ref="H16" si="15">SUM(H13:H15)</f>
        <v>0</v>
      </c>
      <c r="I16" s="1330">
        <f t="shared" ref="I16:J16" si="16">SUM(I13:I15)</f>
        <v>0</v>
      </c>
      <c r="J16" s="1338">
        <f t="shared" si="16"/>
        <v>0</v>
      </c>
      <c r="K16" s="865">
        <f t="shared" ref="K16:M16" si="17">SUM(K13:K15)</f>
        <v>632200</v>
      </c>
      <c r="L16" s="866">
        <f t="shared" ref="L16" si="18">SUM(L13:L15)</f>
        <v>677188</v>
      </c>
      <c r="M16" s="1330">
        <f t="shared" si="17"/>
        <v>632200</v>
      </c>
      <c r="N16" s="866">
        <f t="shared" ref="N16" si="19">SUM(N13:N15)</f>
        <v>677188</v>
      </c>
      <c r="O16" s="303"/>
    </row>
    <row r="17" spans="1:15" ht="18.75" customHeight="1" x14ac:dyDescent="0.3">
      <c r="A17" s="306" t="s">
        <v>396</v>
      </c>
      <c r="B17" s="1196" t="s">
        <v>395</v>
      </c>
      <c r="C17" s="863">
        <f>'15. Működési bev. (B3,B4)'!D24</f>
        <v>3171.9520000000002</v>
      </c>
      <c r="D17" s="1576">
        <f>'15. Működési bev. (B3,B4)'!E24</f>
        <v>2925</v>
      </c>
      <c r="E17" s="1329">
        <f>'15. Működési bev. (B3,B4)'!F24</f>
        <v>3570</v>
      </c>
      <c r="F17" s="1337">
        <f>'15. Működési bev. (B3,B4)'!G24</f>
        <v>3824</v>
      </c>
      <c r="G17" s="863"/>
      <c r="H17" s="864"/>
      <c r="I17" s="1329">
        <f>'3. Gesz költségvetés'!M14</f>
        <v>5374</v>
      </c>
      <c r="J17" s="1337">
        <f>'3. Gesz költségvetés'!N14</f>
        <v>5442</v>
      </c>
      <c r="K17" s="863">
        <f t="shared" ref="K17:L24" si="20">C17+E17+G17+I17</f>
        <v>12115.952000000001</v>
      </c>
      <c r="L17" s="864">
        <f t="shared" si="20"/>
        <v>12191</v>
      </c>
      <c r="M17" s="1329">
        <f t="shared" ref="M17:N24" si="21">C17+E17+G17+I17</f>
        <v>12115.952000000001</v>
      </c>
      <c r="N17" s="864">
        <f t="shared" si="21"/>
        <v>12191</v>
      </c>
      <c r="O17" s="303"/>
    </row>
    <row r="18" spans="1:15" ht="18.75" customHeight="1" x14ac:dyDescent="0.3">
      <c r="A18" s="306" t="s">
        <v>398</v>
      </c>
      <c r="B18" s="1196" t="s">
        <v>397</v>
      </c>
      <c r="C18" s="863">
        <f>'15. Működési bev. (B3,B4)'!D34</f>
        <v>49721.802360000001</v>
      </c>
      <c r="D18" s="1576">
        <f>'15. Működési bev. (B3,B4)'!E34</f>
        <v>50296.802360000001</v>
      </c>
      <c r="E18" s="1329">
        <f>'15. Működési bev. (B3,B4)'!F34</f>
        <v>73063.173999999999</v>
      </c>
      <c r="F18" s="1337">
        <f>'15. Működési bev. (B3,B4)'!G34</f>
        <v>103070.39999999999</v>
      </c>
      <c r="G18" s="863">
        <f>20+2500+1200</f>
        <v>3720</v>
      </c>
      <c r="H18" s="864">
        <v>2330</v>
      </c>
      <c r="I18" s="1329">
        <f>'3. Gesz költségvetés'!M21</f>
        <v>19650</v>
      </c>
      <c r="J18" s="1337">
        <f>'3. Gesz költségvetés'!N21</f>
        <v>25650</v>
      </c>
      <c r="K18" s="863">
        <f t="shared" si="20"/>
        <v>146154.97636</v>
      </c>
      <c r="L18" s="864">
        <f t="shared" si="20"/>
        <v>181347.20236</v>
      </c>
      <c r="M18" s="1329">
        <f t="shared" si="21"/>
        <v>146154.97636</v>
      </c>
      <c r="N18" s="864">
        <f t="shared" si="21"/>
        <v>181347.20236</v>
      </c>
      <c r="O18" s="303"/>
    </row>
    <row r="19" spans="1:15" ht="18.75" customHeight="1" x14ac:dyDescent="0.3">
      <c r="A19" s="306" t="s">
        <v>400</v>
      </c>
      <c r="B19" s="1196" t="s">
        <v>399</v>
      </c>
      <c r="C19" s="863">
        <f>'15. Működési bev. (B3,B4)'!D35</f>
        <v>7530</v>
      </c>
      <c r="D19" s="1576">
        <f>'15. Működési bev. (B3,B4)'!E35</f>
        <v>12721.152</v>
      </c>
      <c r="E19" s="1329">
        <f>'15. Működési bev. (B3,B4)'!F35</f>
        <v>1700</v>
      </c>
      <c r="F19" s="1337">
        <f>'15. Működési bev. (B3,B4)'!G35</f>
        <v>2688.576</v>
      </c>
      <c r="G19" s="863">
        <v>1700</v>
      </c>
      <c r="H19" s="864">
        <v>3000</v>
      </c>
      <c r="I19" s="1329"/>
      <c r="J19" s="1337"/>
      <c r="K19" s="863">
        <f t="shared" si="20"/>
        <v>10930</v>
      </c>
      <c r="L19" s="864">
        <f t="shared" si="20"/>
        <v>18409.727999999999</v>
      </c>
      <c r="M19" s="1329">
        <f t="shared" si="21"/>
        <v>10930</v>
      </c>
      <c r="N19" s="864">
        <f t="shared" si="21"/>
        <v>18409.727999999999</v>
      </c>
      <c r="O19" s="303"/>
    </row>
    <row r="20" spans="1:15" ht="18.75" customHeight="1" x14ac:dyDescent="0.3">
      <c r="A20" s="306" t="s">
        <v>402</v>
      </c>
      <c r="B20" s="1196" t="s">
        <v>401</v>
      </c>
      <c r="C20" s="863">
        <f>'15. Működési bev. (B3,B4)'!D40</f>
        <v>83056.126000000004</v>
      </c>
      <c r="D20" s="1576">
        <f>'15. Működési bev. (B3,B4)'!E40</f>
        <v>84915</v>
      </c>
      <c r="E20" s="1329">
        <f>'15. Működési bev. (B3,B4)'!F40</f>
        <v>0</v>
      </c>
      <c r="F20" s="1337">
        <f>'15. Működési bev. (B3,B4)'!G40</f>
        <v>0</v>
      </c>
      <c r="G20" s="863"/>
      <c r="H20" s="864"/>
      <c r="I20" s="1329"/>
      <c r="J20" s="1337"/>
      <c r="K20" s="863">
        <f t="shared" si="20"/>
        <v>83056.126000000004</v>
      </c>
      <c r="L20" s="864">
        <f t="shared" si="20"/>
        <v>84915</v>
      </c>
      <c r="M20" s="1329">
        <f t="shared" si="21"/>
        <v>83056.126000000004</v>
      </c>
      <c r="N20" s="864">
        <f t="shared" si="21"/>
        <v>84915</v>
      </c>
      <c r="O20" s="303"/>
    </row>
    <row r="21" spans="1:15" ht="18.75" customHeight="1" x14ac:dyDescent="0.3">
      <c r="A21" s="306" t="s">
        <v>404</v>
      </c>
      <c r="B21" s="1196" t="s">
        <v>403</v>
      </c>
      <c r="C21" s="863">
        <f>'15. Működési bev. (B3,B4)'!D44</f>
        <v>0</v>
      </c>
      <c r="D21" s="1576">
        <f>'15. Működési bev. (B3,B4)'!E44</f>
        <v>0</v>
      </c>
      <c r="E21" s="1329">
        <f>'15. Működési bev. (B3,B4)'!F44</f>
        <v>39325</v>
      </c>
      <c r="F21" s="1337">
        <f>'15. Működési bev. (B3,B4)'!G44</f>
        <v>23310.394</v>
      </c>
      <c r="G21" s="863">
        <v>3120</v>
      </c>
      <c r="H21" s="864">
        <v>4000</v>
      </c>
      <c r="I21" s="1329">
        <f>'3. Gesz költségvetés'!M22</f>
        <v>2512</v>
      </c>
      <c r="J21" s="1337">
        <f>'3. Gesz költségvetés'!N22</f>
        <v>2510</v>
      </c>
      <c r="K21" s="863">
        <f t="shared" si="20"/>
        <v>44957</v>
      </c>
      <c r="L21" s="864">
        <f t="shared" si="20"/>
        <v>29820.394</v>
      </c>
      <c r="M21" s="1329">
        <f t="shared" si="21"/>
        <v>44957</v>
      </c>
      <c r="N21" s="864">
        <f t="shared" si="21"/>
        <v>29820.394</v>
      </c>
      <c r="O21" s="303"/>
    </row>
    <row r="22" spans="1:15" ht="18.75" customHeight="1" x14ac:dyDescent="0.3">
      <c r="A22" s="306" t="s">
        <v>406</v>
      </c>
      <c r="B22" s="1196" t="s">
        <v>405</v>
      </c>
      <c r="C22" s="863">
        <f>'15. Működési bev. (B3,B4)'!D46</f>
        <v>0</v>
      </c>
      <c r="D22" s="1576">
        <f>'15. Működési bev. (B3,B4)'!E46</f>
        <v>0</v>
      </c>
      <c r="E22" s="1329">
        <f>'15. Működési bev. (B3,B4)'!F46</f>
        <v>0</v>
      </c>
      <c r="F22" s="1337">
        <f>'15. Működési bev. (B3,B4)'!G46</f>
        <v>0</v>
      </c>
      <c r="G22" s="863"/>
      <c r="H22" s="864"/>
      <c r="I22" s="1329"/>
      <c r="J22" s="1337"/>
      <c r="K22" s="863">
        <f t="shared" si="20"/>
        <v>0</v>
      </c>
      <c r="L22" s="864">
        <f t="shared" si="20"/>
        <v>0</v>
      </c>
      <c r="M22" s="1329">
        <f t="shared" si="21"/>
        <v>0</v>
      </c>
      <c r="N22" s="864">
        <f t="shared" si="21"/>
        <v>0</v>
      </c>
      <c r="O22" s="303"/>
    </row>
    <row r="23" spans="1:15" ht="18.75" customHeight="1" x14ac:dyDescent="0.3">
      <c r="A23" s="306" t="s">
        <v>408</v>
      </c>
      <c r="B23" s="1196" t="s">
        <v>407</v>
      </c>
      <c r="C23" s="863">
        <f>'15. Működési bev. (B3,B4)'!D49</f>
        <v>3500</v>
      </c>
      <c r="D23" s="1576">
        <f>'15. Működési bev. (B3,B4)'!E49</f>
        <v>1540</v>
      </c>
      <c r="E23" s="1329">
        <f>'15. Működési bev. (B3,B4)'!F49</f>
        <v>0</v>
      </c>
      <c r="F23" s="1337">
        <f>'15. Működési bev. (B3,B4)'!G49</f>
        <v>0</v>
      </c>
      <c r="G23" s="863">
        <v>10</v>
      </c>
      <c r="H23" s="864"/>
      <c r="I23" s="1329">
        <f>'3. Gesz költségvetés'!M23</f>
        <v>0</v>
      </c>
      <c r="J23" s="1337">
        <f>'3. Gesz költségvetés'!N23</f>
        <v>0</v>
      </c>
      <c r="K23" s="863">
        <f t="shared" si="20"/>
        <v>3510</v>
      </c>
      <c r="L23" s="864">
        <f t="shared" si="20"/>
        <v>1540</v>
      </c>
      <c r="M23" s="1329">
        <f t="shared" si="21"/>
        <v>3510</v>
      </c>
      <c r="N23" s="864">
        <f t="shared" si="21"/>
        <v>1540</v>
      </c>
      <c r="O23" s="303"/>
    </row>
    <row r="24" spans="1:15" ht="18.75" customHeight="1" x14ac:dyDescent="0.3">
      <c r="A24" s="964" t="s">
        <v>849</v>
      </c>
      <c r="B24" s="1196" t="s">
        <v>1</v>
      </c>
      <c r="C24" s="863">
        <f>'15. Működési bev. (B3,B4)'!D50</f>
        <v>0</v>
      </c>
      <c r="D24" s="1576">
        <f>'15. Működési bev. (B3,B4)'!E50</f>
        <v>0</v>
      </c>
      <c r="E24" s="1329">
        <f>'15. Működési bev. (B3,B4)'!F50</f>
        <v>0</v>
      </c>
      <c r="F24" s="1337">
        <f>'15. Működési bev. (B3,B4)'!G50</f>
        <v>455</v>
      </c>
      <c r="G24" s="863"/>
      <c r="H24" s="864"/>
      <c r="I24" s="1329"/>
      <c r="J24" s="1337"/>
      <c r="K24" s="863">
        <f t="shared" si="20"/>
        <v>0</v>
      </c>
      <c r="L24" s="864">
        <f t="shared" si="20"/>
        <v>455</v>
      </c>
      <c r="M24" s="1329">
        <f t="shared" si="21"/>
        <v>0</v>
      </c>
      <c r="N24" s="864">
        <f t="shared" si="21"/>
        <v>455</v>
      </c>
      <c r="O24" s="303"/>
    </row>
    <row r="25" spans="1:15" ht="18.75" customHeight="1" x14ac:dyDescent="0.3">
      <c r="A25" s="305" t="s">
        <v>410</v>
      </c>
      <c r="B25" s="1325" t="s">
        <v>1</v>
      </c>
      <c r="C25" s="865">
        <f>SUM(C17:C24)</f>
        <v>146979.88036000001</v>
      </c>
      <c r="D25" s="866">
        <f>SUM(D17:D24)</f>
        <v>152397.95436</v>
      </c>
      <c r="E25" s="1330">
        <f t="shared" ref="E25:G25" si="22">SUM(E17:E23)</f>
        <v>117658.174</v>
      </c>
      <c r="F25" s="1338">
        <f>SUM(F17:F24)</f>
        <v>133348.37</v>
      </c>
      <c r="G25" s="865">
        <f t="shared" si="22"/>
        <v>8550</v>
      </c>
      <c r="H25" s="866">
        <f>SUM(H17:H24)</f>
        <v>9330</v>
      </c>
      <c r="I25" s="1330">
        <f t="shared" ref="I25:J25" si="23">SUM(I17:I23)</f>
        <v>27536</v>
      </c>
      <c r="J25" s="1338">
        <f t="shared" si="23"/>
        <v>33602</v>
      </c>
      <c r="K25" s="865">
        <f>SUM(K17:K24)</f>
        <v>300724.05436000001</v>
      </c>
      <c r="L25" s="866">
        <f>SUM(L17:L24)</f>
        <v>328678.32435999997</v>
      </c>
      <c r="M25" s="1330">
        <f>SUM(M17:M24)</f>
        <v>300724.05436000001</v>
      </c>
      <c r="N25" s="866">
        <f>SUM(N17:N24)</f>
        <v>328678.32435999997</v>
      </c>
      <c r="O25" s="303"/>
    </row>
    <row r="26" spans="1:15" ht="18.75" customHeight="1" x14ac:dyDescent="0.3">
      <c r="A26" s="306" t="s">
        <v>412</v>
      </c>
      <c r="B26" s="1196" t="s">
        <v>411</v>
      </c>
      <c r="C26" s="863">
        <f>7400+979</f>
        <v>8379</v>
      </c>
      <c r="D26" s="1576">
        <f>10000+5000</f>
        <v>15000</v>
      </c>
      <c r="E26" s="1329"/>
      <c r="F26" s="1337"/>
      <c r="G26" s="863"/>
      <c r="H26" s="864"/>
      <c r="I26" s="1329"/>
      <c r="J26" s="1337"/>
      <c r="K26" s="863">
        <f>C26+E26+G26+I26</f>
        <v>8379</v>
      </c>
      <c r="L26" s="864">
        <f>D26+F26+H26+J26</f>
        <v>15000</v>
      </c>
      <c r="M26" s="1329">
        <f>C26+E26+G26+I26</f>
        <v>8379</v>
      </c>
      <c r="N26" s="864">
        <f>D26+F26+H26+J26</f>
        <v>15000</v>
      </c>
      <c r="O26" s="303"/>
    </row>
    <row r="27" spans="1:15" ht="18.75" customHeight="1" x14ac:dyDescent="0.3">
      <c r="A27" s="306" t="s">
        <v>414</v>
      </c>
      <c r="B27" s="1196" t="s">
        <v>413</v>
      </c>
      <c r="C27" s="863"/>
      <c r="D27" s="1576">
        <v>750</v>
      </c>
      <c r="E27" s="1329"/>
      <c r="F27" s="1337"/>
      <c r="G27" s="863"/>
      <c r="H27" s="864"/>
      <c r="I27" s="1329"/>
      <c r="J27" s="1337"/>
      <c r="K27" s="863">
        <f>C27+E27+G27+I27</f>
        <v>0</v>
      </c>
      <c r="L27" s="864">
        <f>D27+F27+H27+J27</f>
        <v>750</v>
      </c>
      <c r="M27" s="1329">
        <f>C27+E27+G27+I27</f>
        <v>0</v>
      </c>
      <c r="N27" s="864">
        <f>D27+F27+H27+J27</f>
        <v>750</v>
      </c>
      <c r="O27" s="303"/>
    </row>
    <row r="28" spans="1:15" ht="18.75" customHeight="1" x14ac:dyDescent="0.3">
      <c r="A28" s="305" t="s">
        <v>416</v>
      </c>
      <c r="B28" s="1325" t="s">
        <v>415</v>
      </c>
      <c r="C28" s="865">
        <f>SUM(C26:C27)</f>
        <v>8379</v>
      </c>
      <c r="D28" s="866">
        <f>SUM(D26:D27)</f>
        <v>15750</v>
      </c>
      <c r="E28" s="1330">
        <f t="shared" ref="E28:F28" si="24">SUM(E26:E27)</f>
        <v>0</v>
      </c>
      <c r="F28" s="1338">
        <f t="shared" si="24"/>
        <v>0</v>
      </c>
      <c r="G28" s="865">
        <f t="shared" ref="G28" si="25">SUM(G26:G27)</f>
        <v>0</v>
      </c>
      <c r="H28" s="866">
        <f t="shared" ref="H28" si="26">SUM(H26:H27)</f>
        <v>0</v>
      </c>
      <c r="I28" s="1330">
        <f t="shared" ref="I28:J28" si="27">SUM(I26:I27)</f>
        <v>0</v>
      </c>
      <c r="J28" s="1338">
        <f t="shared" si="27"/>
        <v>0</v>
      </c>
      <c r="K28" s="865">
        <f t="shared" ref="K28:M28" si="28">SUM(K26:K27)</f>
        <v>8379</v>
      </c>
      <c r="L28" s="866">
        <f t="shared" ref="L28" si="29">SUM(L26:L27)</f>
        <v>15750</v>
      </c>
      <c r="M28" s="1330">
        <f t="shared" si="28"/>
        <v>8379</v>
      </c>
      <c r="N28" s="866">
        <f t="shared" ref="N28" si="30">SUM(N26:N27)</f>
        <v>15750</v>
      </c>
      <c r="O28" s="303"/>
    </row>
    <row r="29" spans="1:15" ht="18.75" customHeight="1" x14ac:dyDescent="0.3">
      <c r="A29" s="306" t="s">
        <v>418</v>
      </c>
      <c r="B29" s="1196" t="s">
        <v>417</v>
      </c>
      <c r="C29" s="863">
        <f>'16. Átvett pénze.(B6,B7)'!C9</f>
        <v>0</v>
      </c>
      <c r="D29" s="864">
        <f>'16. Átvett pénze.(B6,B7)'!D9</f>
        <v>0</v>
      </c>
      <c r="E29" s="1329"/>
      <c r="F29" s="1337"/>
      <c r="G29" s="863"/>
      <c r="H29" s="864"/>
      <c r="I29" s="1329"/>
      <c r="J29" s="1337">
        <f>'3. Gesz költségvetés'!N25</f>
        <v>0</v>
      </c>
      <c r="K29" s="863">
        <f>C29+E29+G29+I29</f>
        <v>0</v>
      </c>
      <c r="L29" s="864">
        <f>D29+F29+H29+J29</f>
        <v>0</v>
      </c>
      <c r="M29" s="1329">
        <f>C29+E29+G29+I29</f>
        <v>0</v>
      </c>
      <c r="N29" s="864">
        <f>D29+F29+H29+J29</f>
        <v>0</v>
      </c>
      <c r="O29" s="303"/>
    </row>
    <row r="30" spans="1:15" ht="18.75" customHeight="1" x14ac:dyDescent="0.3">
      <c r="A30" s="305" t="s">
        <v>420</v>
      </c>
      <c r="B30" s="1325" t="s">
        <v>419</v>
      </c>
      <c r="C30" s="865">
        <f t="shared" ref="C30:F30" si="31">SUM(C29)</f>
        <v>0</v>
      </c>
      <c r="D30" s="866">
        <f t="shared" si="31"/>
        <v>0</v>
      </c>
      <c r="E30" s="1330">
        <f t="shared" si="31"/>
        <v>0</v>
      </c>
      <c r="F30" s="1338">
        <f t="shared" si="31"/>
        <v>0</v>
      </c>
      <c r="G30" s="865">
        <f t="shared" ref="G30" si="32">SUM(G29)</f>
        <v>0</v>
      </c>
      <c r="H30" s="866">
        <f t="shared" ref="H30" si="33">SUM(H29)</f>
        <v>0</v>
      </c>
      <c r="I30" s="1330">
        <f>'3. Gesz költségvetés'!M25</f>
        <v>0</v>
      </c>
      <c r="J30" s="1338">
        <f>'3. Gesz költségvetés'!N25</f>
        <v>0</v>
      </c>
      <c r="K30" s="865">
        <f>SUM(K29)</f>
        <v>0</v>
      </c>
      <c r="L30" s="866">
        <f>SUM(L29)</f>
        <v>0</v>
      </c>
      <c r="M30" s="1330">
        <f t="shared" ref="M30" si="34">SUM(M29)</f>
        <v>0</v>
      </c>
      <c r="N30" s="866">
        <f t="shared" ref="N30" si="35">SUM(N29)</f>
        <v>0</v>
      </c>
      <c r="O30" s="303"/>
    </row>
    <row r="31" spans="1:15" s="1322" customFormat="1" ht="37.5" x14ac:dyDescent="0.2">
      <c r="A31" s="306" t="s">
        <v>933</v>
      </c>
      <c r="B31" s="1194" t="s">
        <v>421</v>
      </c>
      <c r="C31" s="1319">
        <f>'16. Átvett pénze.(B6,B7)'!C25</f>
        <v>660</v>
      </c>
      <c r="D31" s="1577">
        <f>'16. Átvett pénze.(B6,B7)'!D25</f>
        <v>538</v>
      </c>
      <c r="E31" s="1331"/>
      <c r="F31" s="1339"/>
      <c r="G31" s="1319"/>
      <c r="H31" s="1320"/>
      <c r="I31" s="1331"/>
      <c r="J31" s="1339"/>
      <c r="K31" s="1319">
        <f>C31+E31+G31+I31</f>
        <v>660</v>
      </c>
      <c r="L31" s="1320">
        <f>D31+F31+H31+J31</f>
        <v>538</v>
      </c>
      <c r="M31" s="1331">
        <f>C31+E31+G31+I31</f>
        <v>660</v>
      </c>
      <c r="N31" s="1320">
        <f>D31+F31+H31+J31</f>
        <v>538</v>
      </c>
      <c r="O31" s="1321"/>
    </row>
    <row r="32" spans="1:15" ht="18.75" customHeight="1" x14ac:dyDescent="0.3">
      <c r="A32" s="306" t="s">
        <v>814</v>
      </c>
      <c r="B32" s="1196" t="s">
        <v>423</v>
      </c>
      <c r="C32" s="863">
        <f>'16. Átvett pénze.(B6,B7)'!C28</f>
        <v>2066</v>
      </c>
      <c r="D32" s="864">
        <f>'16. Átvett pénze.(B6,B7)'!D28</f>
        <v>0</v>
      </c>
      <c r="E32" s="1329"/>
      <c r="F32" s="1337"/>
      <c r="G32" s="863"/>
      <c r="H32" s="864"/>
      <c r="I32" s="1329"/>
      <c r="J32" s="1337"/>
      <c r="K32" s="863">
        <f>C32+E32+G32+I32</f>
        <v>2066</v>
      </c>
      <c r="L32" s="864">
        <f>D32+F32+H32+J32</f>
        <v>0</v>
      </c>
      <c r="M32" s="1329">
        <f>C32+E32+G32+I32</f>
        <v>2066</v>
      </c>
      <c r="N32" s="864">
        <f>D32+F32+H32+J32</f>
        <v>0</v>
      </c>
      <c r="O32" s="303"/>
    </row>
    <row r="33" spans="1:16" ht="18.75" customHeight="1" x14ac:dyDescent="0.3">
      <c r="A33" s="305" t="s">
        <v>426</v>
      </c>
      <c r="B33" s="1325" t="s">
        <v>425</v>
      </c>
      <c r="C33" s="865">
        <f t="shared" ref="C33:D33" si="36">SUM(C31:C32)</f>
        <v>2726</v>
      </c>
      <c r="D33" s="866">
        <f t="shared" si="36"/>
        <v>538</v>
      </c>
      <c r="E33" s="1330">
        <f t="shared" ref="E33" si="37">SUM(E31:E32)</f>
        <v>0</v>
      </c>
      <c r="F33" s="1338">
        <f t="shared" ref="F33" si="38">SUM(F31:F32)</f>
        <v>0</v>
      </c>
      <c r="G33" s="865">
        <f t="shared" ref="G33:H33" si="39">SUM(G31:G32)</f>
        <v>0</v>
      </c>
      <c r="H33" s="866">
        <f t="shared" si="39"/>
        <v>0</v>
      </c>
      <c r="I33" s="1330">
        <f t="shared" ref="I33:J33" si="40">SUM(I31:I32)</f>
        <v>0</v>
      </c>
      <c r="J33" s="1338">
        <f t="shared" si="40"/>
        <v>0</v>
      </c>
      <c r="K33" s="865">
        <f t="shared" ref="K33:L33" si="41">SUM(K31:K32)</f>
        <v>2726</v>
      </c>
      <c r="L33" s="866">
        <f t="shared" si="41"/>
        <v>538</v>
      </c>
      <c r="M33" s="1330">
        <f t="shared" ref="M33:N33" si="42">SUM(M31:M32)</f>
        <v>2726</v>
      </c>
      <c r="N33" s="866">
        <f t="shared" si="42"/>
        <v>538</v>
      </c>
      <c r="O33" s="303"/>
    </row>
    <row r="34" spans="1:16" ht="18.75" customHeight="1" x14ac:dyDescent="0.3">
      <c r="A34" s="308" t="s">
        <v>428</v>
      </c>
      <c r="B34" s="1198" t="s">
        <v>427</v>
      </c>
      <c r="C34" s="868">
        <f>C33+C30+C28+C25+C16+C12+C10</f>
        <v>1407482.6393599999</v>
      </c>
      <c r="D34" s="869">
        <f>D33+D30+D28+D25+D16+D12+D10</f>
        <v>1496330.5105349999</v>
      </c>
      <c r="E34" s="1332">
        <f t="shared" ref="E34" si="43">E33+E30+E28+E25+E16+E12+E10</f>
        <v>118358.174</v>
      </c>
      <c r="F34" s="1340">
        <f t="shared" ref="F34" si="44">F33+F30+F28+F25+F16+F12+F10</f>
        <v>134136.37</v>
      </c>
      <c r="G34" s="868">
        <f t="shared" ref="G34:H34" si="45">G33+G30+G28+G25+G16+G12+G10</f>
        <v>271050</v>
      </c>
      <c r="H34" s="869">
        <f t="shared" si="45"/>
        <v>304830</v>
      </c>
      <c r="I34" s="1332">
        <f t="shared" ref="I34:J34" si="46">I33+I30+I28+I25+I16+I12+I10</f>
        <v>27536</v>
      </c>
      <c r="J34" s="1340">
        <f t="shared" si="46"/>
        <v>33602</v>
      </c>
      <c r="K34" s="868">
        <f>K10+K12+K16+K25+K28+K30+K33</f>
        <v>1824426.81336</v>
      </c>
      <c r="L34" s="869">
        <f>L10+L12+L16+L25+L28+L30+L33</f>
        <v>1968898.880535</v>
      </c>
      <c r="M34" s="1332">
        <f>M10+M12+M16+M25+M28+M30+M33</f>
        <v>1824426.81336</v>
      </c>
      <c r="N34" s="869">
        <f>N10+N12+N16+N25+N28+N30+N33</f>
        <v>1968898.880535</v>
      </c>
      <c r="O34" s="303"/>
      <c r="P34" s="303"/>
    </row>
    <row r="35" spans="1:16" ht="18.75" customHeight="1" x14ac:dyDescent="0.3">
      <c r="A35" s="310"/>
      <c r="B35" s="1326" t="s">
        <v>429</v>
      </c>
      <c r="C35" s="870">
        <f>C10+C16+C25+C295+C30-'2.Kiadások_részletes '!C20</f>
        <v>818124.93136000016</v>
      </c>
      <c r="D35" s="871">
        <f>D10+D16+D25+D295+D30-'2.Kiadások_részletes '!D20</f>
        <v>929516.19753500016</v>
      </c>
      <c r="E35" s="1333">
        <f>E10+E16+E25+E295+E30-'2.Kiadások_részletes '!E20</f>
        <v>-427520.18200000003</v>
      </c>
      <c r="F35" s="1341">
        <f>F10+F16+F25+F295+F30-'2.Kiadások_részletes '!F20</f>
        <v>-416595.37173999997</v>
      </c>
      <c r="G35" s="870">
        <f>G10+G16+G25+G295+G30-'2.Kiadások_részletes '!G20</f>
        <v>635</v>
      </c>
      <c r="H35" s="871">
        <f>H10+H16+H25+H295+H30-'2.Kiadások_részletes '!H20</f>
        <v>1794</v>
      </c>
      <c r="I35" s="1333">
        <f>I10+I16+I25+I295+I30-'2.Kiadások_részletes '!I20</f>
        <v>-488324</v>
      </c>
      <c r="J35" s="1341">
        <f>J10+J16+J25+J295+J30-'2.Kiadások_részletes '!J20</f>
        <v>-519420</v>
      </c>
      <c r="K35" s="870">
        <f>K10+K16+K25+K295+K30-'2.Kiadások_részletes '!K20</f>
        <v>-97084.250639999984</v>
      </c>
      <c r="L35" s="871">
        <f>L10+L16+L25+L295+L30-'2.Kiadások_részletes '!L20</f>
        <v>-4705.1742050000466</v>
      </c>
      <c r="M35" s="1333">
        <f>M10+M16+M25+M295+M30-'2.Kiadások_részletes '!M20</f>
        <v>-97084.250639999984</v>
      </c>
      <c r="N35" s="871">
        <f>N10+N16+N25+N295+N30-'2.Kiadások_részletes '!N20</f>
        <v>-4705.1742050000466</v>
      </c>
      <c r="O35" s="303"/>
      <c r="P35" s="303"/>
    </row>
    <row r="36" spans="1:16" ht="18.75" customHeight="1" x14ac:dyDescent="0.3">
      <c r="A36" s="310"/>
      <c r="B36" s="1326" t="s">
        <v>430</v>
      </c>
      <c r="C36" s="870">
        <f>C12+C28+C33-'2.Kiadások_részletes '!C26</f>
        <v>-281178</v>
      </c>
      <c r="D36" s="871">
        <f>D12+D28+D33-'2.Kiadások_részletes '!D26</f>
        <v>-318370</v>
      </c>
      <c r="E36" s="1333">
        <f>E12+E28+E33-'2.Kiadások_részletes '!E26</f>
        <v>-11660</v>
      </c>
      <c r="F36" s="1341">
        <f>F12+F28+F33-'2.Kiadások_részletes '!F26</f>
        <v>-6508</v>
      </c>
      <c r="G36" s="870">
        <f>G12+G28+G33-'2.Kiadások_részletes '!G26</f>
        <v>-635</v>
      </c>
      <c r="H36" s="871">
        <f>H12+H28+H33-'2.Kiadások_részletes '!H26</f>
        <v>-1794</v>
      </c>
      <c r="I36" s="1333">
        <f>I12+I28+I33-'2.Kiadások_részletes '!I26</f>
        <v>-2973</v>
      </c>
      <c r="J36" s="1341">
        <f>J12+J28+J33-'2.Kiadások_részletes '!J26</f>
        <v>-3049</v>
      </c>
      <c r="K36" s="870">
        <f>K12+K28+K33-'2.Kiadások_részletes '!K26</f>
        <v>-296446</v>
      </c>
      <c r="L36" s="871">
        <f>L12+L28+L33-'2.Kiadások_részletes '!L26</f>
        <v>-329721</v>
      </c>
      <c r="M36" s="1333">
        <f>M12+M28+M33-'2.Kiadások_részletes '!M26</f>
        <v>-296446</v>
      </c>
      <c r="N36" s="871">
        <f>N12+N28+N33-'2.Kiadások_részletes '!N26</f>
        <v>-329721</v>
      </c>
      <c r="O36" s="303"/>
      <c r="P36" s="303"/>
    </row>
    <row r="37" spans="1:16" ht="18.75" customHeight="1" x14ac:dyDescent="0.3">
      <c r="A37" s="311" t="s">
        <v>157</v>
      </c>
      <c r="B37" s="1327" t="s">
        <v>156</v>
      </c>
      <c r="C37" s="863">
        <v>0</v>
      </c>
      <c r="D37" s="864">
        <v>0</v>
      </c>
      <c r="E37" s="1329"/>
      <c r="F37" s="1337"/>
      <c r="G37" s="863"/>
      <c r="H37" s="864"/>
      <c r="I37" s="1329"/>
      <c r="J37" s="1337"/>
      <c r="K37" s="863">
        <f t="shared" ref="K37:L44" si="47">C37+E37+G37+I37</f>
        <v>0</v>
      </c>
      <c r="L37" s="864">
        <f t="shared" si="47"/>
        <v>0</v>
      </c>
      <c r="M37" s="1329">
        <f t="shared" ref="M37:N43" si="48">C37+E37+G37+I37</f>
        <v>0</v>
      </c>
      <c r="N37" s="864">
        <f t="shared" si="48"/>
        <v>0</v>
      </c>
      <c r="O37" s="303"/>
      <c r="P37" s="303"/>
    </row>
    <row r="38" spans="1:16" ht="18.75" customHeight="1" x14ac:dyDescent="0.3">
      <c r="A38" s="311" t="s">
        <v>432</v>
      </c>
      <c r="B38" s="1196" t="s">
        <v>431</v>
      </c>
      <c r="C38" s="863">
        <f>'17. finanszírozás be_ki (B8,K9)'!D10</f>
        <v>0</v>
      </c>
      <c r="D38" s="864">
        <f>'17. finanszírozás be_ki (B8,K9)'!E10</f>
        <v>0</v>
      </c>
      <c r="E38" s="1329"/>
      <c r="F38" s="1337"/>
      <c r="G38" s="863"/>
      <c r="H38" s="864"/>
      <c r="I38" s="1329"/>
      <c r="J38" s="1337"/>
      <c r="K38" s="863">
        <f t="shared" si="47"/>
        <v>0</v>
      </c>
      <c r="L38" s="864">
        <f t="shared" si="47"/>
        <v>0</v>
      </c>
      <c r="M38" s="1329">
        <f t="shared" si="48"/>
        <v>0</v>
      </c>
      <c r="N38" s="864">
        <f t="shared" si="48"/>
        <v>0</v>
      </c>
      <c r="O38" s="303"/>
      <c r="P38" s="303"/>
    </row>
    <row r="39" spans="1:16" s="302" customFormat="1" ht="18.75" customHeight="1" x14ac:dyDescent="0.3">
      <c r="A39" s="312" t="s">
        <v>434</v>
      </c>
      <c r="B39" s="1197" t="s">
        <v>433</v>
      </c>
      <c r="C39" s="872">
        <f>SUM(C37:C38)</f>
        <v>0</v>
      </c>
      <c r="D39" s="873">
        <f>SUM(D37:D38)</f>
        <v>0</v>
      </c>
      <c r="E39" s="1334">
        <f t="shared" ref="E39:I39" si="49">SUM(E37:E38)</f>
        <v>0</v>
      </c>
      <c r="F39" s="1342">
        <f t="shared" ref="F39" si="50">SUM(F37:F38)</f>
        <v>0</v>
      </c>
      <c r="G39" s="872">
        <f t="shared" si="49"/>
        <v>0</v>
      </c>
      <c r="H39" s="873">
        <f t="shared" ref="H39" si="51">SUM(H37:H38)</f>
        <v>0</v>
      </c>
      <c r="I39" s="1334">
        <f t="shared" si="49"/>
        <v>0</v>
      </c>
      <c r="J39" s="1342">
        <f t="shared" ref="J39" si="52">SUM(J37:J38)</f>
        <v>0</v>
      </c>
      <c r="K39" s="872">
        <f t="shared" si="47"/>
        <v>0</v>
      </c>
      <c r="L39" s="873">
        <f t="shared" si="47"/>
        <v>0</v>
      </c>
      <c r="M39" s="1334">
        <f t="shared" si="48"/>
        <v>0</v>
      </c>
      <c r="N39" s="873">
        <f t="shared" si="48"/>
        <v>0</v>
      </c>
      <c r="O39" s="771"/>
      <c r="P39" s="771"/>
    </row>
    <row r="40" spans="1:16" s="302" customFormat="1" ht="18.75" customHeight="1" x14ac:dyDescent="0.3">
      <c r="A40" s="312" t="s">
        <v>649</v>
      </c>
      <c r="B40" s="1197" t="str">
        <f>'17. finanszírozás be_ki (B8,K9)'!C12</f>
        <v>Belföldi kincstárjegy</v>
      </c>
      <c r="C40" s="872"/>
      <c r="D40" s="873">
        <f>'17. finanszírozás be_ki (B8,K9)'!E12</f>
        <v>150000</v>
      </c>
      <c r="E40" s="1334"/>
      <c r="F40" s="1342"/>
      <c r="G40" s="872"/>
      <c r="H40" s="873"/>
      <c r="I40" s="1334"/>
      <c r="J40" s="1342"/>
      <c r="K40" s="872">
        <f t="shared" si="47"/>
        <v>0</v>
      </c>
      <c r="L40" s="873">
        <f t="shared" si="47"/>
        <v>150000</v>
      </c>
      <c r="M40" s="1334">
        <f t="shared" si="48"/>
        <v>0</v>
      </c>
      <c r="N40" s="873">
        <f t="shared" si="48"/>
        <v>150000</v>
      </c>
      <c r="O40" s="771"/>
      <c r="P40" s="771"/>
    </row>
    <row r="41" spans="1:16" ht="18.75" customHeight="1" x14ac:dyDescent="0.3">
      <c r="A41" s="311" t="s">
        <v>436</v>
      </c>
      <c r="B41" s="1194" t="s">
        <v>435</v>
      </c>
      <c r="C41" s="863">
        <f>'17. finanszírozás be_ki (B8,K9)'!D13</f>
        <v>90286</v>
      </c>
      <c r="D41" s="864">
        <f>'17. finanszírozás be_ki (B8,K9)'!E13</f>
        <v>41809</v>
      </c>
      <c r="E41" s="1329"/>
      <c r="F41" s="1337"/>
      <c r="G41" s="863"/>
      <c r="H41" s="864"/>
      <c r="I41" s="1329"/>
      <c r="J41" s="1337">
        <f>'3. Gesz költségvetés'!N32</f>
        <v>0</v>
      </c>
      <c r="K41" s="863">
        <f t="shared" si="47"/>
        <v>90286</v>
      </c>
      <c r="L41" s="864">
        <f t="shared" si="47"/>
        <v>41809</v>
      </c>
      <c r="M41" s="1329">
        <f t="shared" si="48"/>
        <v>90286</v>
      </c>
      <c r="N41" s="864">
        <f t="shared" si="48"/>
        <v>41809</v>
      </c>
      <c r="O41" s="303"/>
    </row>
    <row r="42" spans="1:16" ht="18.75" customHeight="1" x14ac:dyDescent="0.3">
      <c r="A42" s="311" t="s">
        <v>436</v>
      </c>
      <c r="B42" s="1194" t="s">
        <v>437</v>
      </c>
      <c r="C42" s="863">
        <f>'17. finanszírozás be_ki (B8,K9)'!D14</f>
        <v>325163</v>
      </c>
      <c r="D42" s="864">
        <f>'17. finanszírozás be_ki (B8,K9)'!E14</f>
        <v>165373</v>
      </c>
      <c r="E42" s="1329"/>
      <c r="F42" s="1337"/>
      <c r="G42" s="863"/>
      <c r="H42" s="864"/>
      <c r="I42" s="1329"/>
      <c r="J42" s="1337"/>
      <c r="K42" s="863">
        <f t="shared" si="47"/>
        <v>325163</v>
      </c>
      <c r="L42" s="864">
        <f t="shared" si="47"/>
        <v>165373</v>
      </c>
      <c r="M42" s="1329">
        <f t="shared" si="48"/>
        <v>325163</v>
      </c>
      <c r="N42" s="864">
        <f t="shared" si="48"/>
        <v>165373</v>
      </c>
      <c r="O42" s="303"/>
    </row>
    <row r="43" spans="1:16" s="302" customFormat="1" ht="18.75" customHeight="1" x14ac:dyDescent="0.3">
      <c r="A43" s="312" t="s">
        <v>439</v>
      </c>
      <c r="B43" s="1195" t="s">
        <v>438</v>
      </c>
      <c r="C43" s="872">
        <f>SUM(C41:C42)</f>
        <v>415449</v>
      </c>
      <c r="D43" s="873">
        <f>SUM(D41:D42)</f>
        <v>207182</v>
      </c>
      <c r="E43" s="1334">
        <f t="shared" ref="E43:G43" si="53">SUM(E41:E42)</f>
        <v>0</v>
      </c>
      <c r="F43" s="1342">
        <f t="shared" ref="F43" si="54">SUM(F41:F42)</f>
        <v>0</v>
      </c>
      <c r="G43" s="872">
        <f t="shared" si="53"/>
        <v>0</v>
      </c>
      <c r="H43" s="873">
        <f t="shared" ref="H43" si="55">SUM(H41:H42)</f>
        <v>0</v>
      </c>
      <c r="I43" s="1334">
        <f t="shared" ref="I43:J43" si="56">SUM(I41:I42)</f>
        <v>0</v>
      </c>
      <c r="J43" s="1342">
        <f t="shared" si="56"/>
        <v>0</v>
      </c>
      <c r="K43" s="872">
        <f t="shared" si="47"/>
        <v>415449</v>
      </c>
      <c r="L43" s="873">
        <f t="shared" si="47"/>
        <v>207182</v>
      </c>
      <c r="M43" s="1334">
        <f t="shared" si="48"/>
        <v>415449</v>
      </c>
      <c r="N43" s="873">
        <f t="shared" si="48"/>
        <v>207182</v>
      </c>
      <c r="O43" s="771"/>
    </row>
    <row r="44" spans="1:16" ht="18.75" customHeight="1" x14ac:dyDescent="0.3">
      <c r="A44" s="311" t="s">
        <v>441</v>
      </c>
      <c r="B44" s="1327" t="s">
        <v>521</v>
      </c>
      <c r="C44" s="863"/>
      <c r="D44" s="864"/>
      <c r="E44" s="1329">
        <f>'2.Kiadások_részletes '!E35-'2.Bevételek_részletes'!E34</f>
        <v>439180.18200000003</v>
      </c>
      <c r="F44" s="1337">
        <f>'2.Kiadások_részletes '!F35-'2.Bevételek_részletes'!F34-F43</f>
        <v>423103.37173999997</v>
      </c>
      <c r="G44" s="863"/>
      <c r="H44" s="864">
        <f>'2.Kiadások_részletes '!H35-'2.Bevételek_részletes'!H34-H43</f>
        <v>0</v>
      </c>
      <c r="I44" s="1329">
        <f>'3. Gesz költségvetés'!M33</f>
        <v>491297</v>
      </c>
      <c r="J44" s="1337">
        <f>'3. Gesz költségvetés'!N33</f>
        <v>522469</v>
      </c>
      <c r="K44" s="863">
        <f t="shared" si="47"/>
        <v>930477.18200000003</v>
      </c>
      <c r="L44" s="864">
        <f t="shared" si="47"/>
        <v>945572.37173999997</v>
      </c>
      <c r="M44" s="1329"/>
      <c r="N44" s="864"/>
      <c r="O44" s="303"/>
    </row>
    <row r="45" spans="1:16" ht="18.75" customHeight="1" x14ac:dyDescent="0.3">
      <c r="A45" s="1080" t="s">
        <v>449</v>
      </c>
      <c r="B45" s="1328" t="s">
        <v>448</v>
      </c>
      <c r="C45" s="1084">
        <f t="shared" ref="C45:F45" si="57">C44+C43+C39</f>
        <v>415449</v>
      </c>
      <c r="D45" s="1081">
        <f>D44+D43+D39+D40</f>
        <v>357182</v>
      </c>
      <c r="E45" s="1335">
        <f t="shared" si="57"/>
        <v>439180.18200000003</v>
      </c>
      <c r="F45" s="1343">
        <f t="shared" si="57"/>
        <v>423103.37173999997</v>
      </c>
      <c r="G45" s="1084">
        <f t="shared" ref="G45:H45" si="58">G44+G43+G39</f>
        <v>0</v>
      </c>
      <c r="H45" s="1081">
        <f t="shared" si="58"/>
        <v>0</v>
      </c>
      <c r="I45" s="1335">
        <f t="shared" ref="I45:J45" si="59">I44+I43+I39</f>
        <v>491297</v>
      </c>
      <c r="J45" s="1343">
        <f t="shared" si="59"/>
        <v>522469</v>
      </c>
      <c r="K45" s="1084">
        <f>K39+K43+K44</f>
        <v>1345926.182</v>
      </c>
      <c r="L45" s="1081">
        <f>L39+L43+L44+L40</f>
        <v>1302754.3717399999</v>
      </c>
      <c r="M45" s="1335">
        <f>M39+M43+M44</f>
        <v>415449</v>
      </c>
      <c r="N45" s="1081">
        <f>N39+N43+N44+N40</f>
        <v>357182</v>
      </c>
      <c r="O45" s="303"/>
    </row>
    <row r="46" spans="1:16" ht="19.5" thickBot="1" x14ac:dyDescent="0.35">
      <c r="A46" s="1082"/>
      <c r="B46" s="1199" t="s">
        <v>666</v>
      </c>
      <c r="C46" s="1085">
        <f t="shared" ref="C46:F46" si="60">C45+C34</f>
        <v>1822931.6393599999</v>
      </c>
      <c r="D46" s="1083">
        <f t="shared" si="60"/>
        <v>1853512.5105349999</v>
      </c>
      <c r="E46" s="1336">
        <f t="shared" si="60"/>
        <v>557538.35600000003</v>
      </c>
      <c r="F46" s="1344">
        <f t="shared" si="60"/>
        <v>557239.74173999997</v>
      </c>
      <c r="G46" s="1085">
        <f t="shared" ref="G46:H46" si="61">G45+G34</f>
        <v>271050</v>
      </c>
      <c r="H46" s="1083">
        <f t="shared" si="61"/>
        <v>304830</v>
      </c>
      <c r="I46" s="1336">
        <f t="shared" ref="I46:J46" si="62">I45+I34</f>
        <v>518833</v>
      </c>
      <c r="J46" s="1344">
        <f t="shared" si="62"/>
        <v>556071</v>
      </c>
      <c r="K46" s="1085">
        <f>K34+K45</f>
        <v>3170352.9953600001</v>
      </c>
      <c r="L46" s="1083">
        <f>L34+L45</f>
        <v>3271653.2522749999</v>
      </c>
      <c r="M46" s="1336">
        <f>M34+M45</f>
        <v>2239875.81336</v>
      </c>
      <c r="N46" s="1083">
        <f>N34+N45</f>
        <v>2326080.880535</v>
      </c>
      <c r="O46" s="303"/>
    </row>
    <row r="48" spans="1:16" x14ac:dyDescent="0.3"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</row>
    <row r="49" spans="3:14" x14ac:dyDescent="0.3">
      <c r="E49" s="303"/>
      <c r="F49" s="303"/>
    </row>
    <row r="50" spans="3:14" x14ac:dyDescent="0.3"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</row>
    <row r="53" spans="3:14" x14ac:dyDescent="0.3"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</row>
    <row r="55" spans="3:14" x14ac:dyDescent="0.3"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</row>
    <row r="56" spans="3:14" x14ac:dyDescent="0.3">
      <c r="K56" s="303"/>
      <c r="L56" s="303"/>
      <c r="M56" s="303"/>
      <c r="N56" s="303"/>
    </row>
    <row r="57" spans="3:14" x14ac:dyDescent="0.3">
      <c r="C57" s="303"/>
      <c r="D57" s="303"/>
      <c r="K57" s="303"/>
      <c r="L57" s="303"/>
      <c r="M57" s="303"/>
      <c r="N57" s="303"/>
    </row>
    <row r="58" spans="3:14" x14ac:dyDescent="0.3">
      <c r="C58" s="303"/>
      <c r="D58" s="303"/>
    </row>
    <row r="59" spans="3:14" x14ac:dyDescent="0.3">
      <c r="C59" s="303"/>
      <c r="D59" s="303"/>
    </row>
    <row r="62" spans="3:14" x14ac:dyDescent="0.3">
      <c r="C62" s="303"/>
      <c r="D62" s="303"/>
    </row>
    <row r="63" spans="3:14" x14ac:dyDescent="0.3">
      <c r="C63" s="303"/>
      <c r="D63" s="303"/>
    </row>
    <row r="64" spans="3:14" x14ac:dyDescent="0.3">
      <c r="M64" s="303"/>
      <c r="N64" s="303"/>
    </row>
    <row r="65" spans="3:14" x14ac:dyDescent="0.3">
      <c r="M65" s="303"/>
      <c r="N65" s="303"/>
    </row>
    <row r="67" spans="3:14" x14ac:dyDescent="0.3">
      <c r="K67" s="303"/>
      <c r="L67" s="303"/>
      <c r="M67" s="303"/>
      <c r="N67" s="303"/>
    </row>
    <row r="68" spans="3:14" x14ac:dyDescent="0.3">
      <c r="K68" s="303"/>
      <c r="L68" s="303"/>
      <c r="M68" s="303"/>
      <c r="N68" s="303"/>
    </row>
    <row r="69" spans="3:14" x14ac:dyDescent="0.3">
      <c r="K69" s="303"/>
      <c r="L69" s="303"/>
      <c r="M69" s="303"/>
      <c r="N69" s="303"/>
    </row>
    <row r="70" spans="3:14" x14ac:dyDescent="0.3">
      <c r="K70" s="303"/>
      <c r="L70" s="303"/>
      <c r="M70" s="303"/>
      <c r="N70" s="303"/>
    </row>
    <row r="71" spans="3:14" x14ac:dyDescent="0.3">
      <c r="K71" s="303"/>
      <c r="L71" s="303"/>
      <c r="M71" s="303"/>
      <c r="N71" s="303"/>
    </row>
    <row r="72" spans="3:14" x14ac:dyDescent="0.3"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</row>
  </sheetData>
  <mergeCells count="3">
    <mergeCell ref="A1:N1"/>
    <mergeCell ref="A2:N2"/>
    <mergeCell ref="A3:N3"/>
  </mergeCells>
  <phoneticPr fontId="57" type="noConversion"/>
  <pageMargins left="0.16" right="0.24" top="0.28999999999999998" bottom="0.35" header="0.31496062992125984" footer="0.31496062992125984"/>
  <pageSetup paperSize="8" scale="49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pageSetUpPr fitToPage="1"/>
  </sheetPr>
  <dimension ref="A1:S35"/>
  <sheetViews>
    <sheetView view="pageBreakPreview" zoomScaleSheetLayoutView="100" workbookViewId="0">
      <selection sqref="A1:O1"/>
    </sheetView>
  </sheetViews>
  <sheetFormatPr defaultRowHeight="18.75" x14ac:dyDescent="0.3"/>
  <cols>
    <col min="1" max="1" width="13.7109375" style="422" bestFit="1" customWidth="1"/>
    <col min="2" max="2" width="41.7109375" style="422" customWidth="1"/>
    <col min="3" max="3" width="14" style="422" bestFit="1" customWidth="1"/>
    <col min="4" max="4" width="14" style="422" customWidth="1"/>
    <col min="5" max="5" width="14.5703125" style="422" customWidth="1"/>
    <col min="6" max="6" width="15.42578125" style="422" customWidth="1"/>
    <col min="7" max="7" width="14.140625" style="422" customWidth="1"/>
    <col min="8" max="8" width="13.7109375" style="422" customWidth="1"/>
    <col min="9" max="9" width="12.7109375" style="422" customWidth="1"/>
    <col min="10" max="10" width="14.85546875" style="422" bestFit="1" customWidth="1"/>
    <col min="11" max="11" width="16.5703125" style="422" bestFit="1" customWidth="1"/>
    <col min="12" max="12" width="13.42578125" style="422" customWidth="1"/>
    <col min="13" max="13" width="14.140625" style="422" bestFit="1" customWidth="1"/>
    <col min="14" max="14" width="14.85546875" style="422" bestFit="1" customWidth="1"/>
    <col min="15" max="15" width="18" style="422" customWidth="1"/>
    <col min="16" max="16" width="16.140625" style="421" bestFit="1" customWidth="1"/>
    <col min="17" max="17" width="14.7109375" style="422" bestFit="1" customWidth="1"/>
    <col min="18" max="18" width="19.28515625" style="422" customWidth="1"/>
    <col min="19" max="19" width="9.7109375" style="422" bestFit="1" customWidth="1"/>
    <col min="20" max="16384" width="9.140625" style="422"/>
  </cols>
  <sheetData>
    <row r="1" spans="1:19" x14ac:dyDescent="0.3">
      <c r="A1" s="1922" t="str">
        <f>Tartalomjegyzék_2018!A1</f>
        <v>Pilisvörösvár Város Önkormányzata Képviselő-testületének 2/2018. (II. 9.) önkormányzati rendelete</v>
      </c>
      <c r="B1" s="1922"/>
      <c r="C1" s="1922"/>
      <c r="D1" s="1922"/>
      <c r="E1" s="1922"/>
      <c r="F1" s="1922"/>
      <c r="G1" s="1922"/>
      <c r="H1" s="1922"/>
      <c r="I1" s="1922"/>
      <c r="J1" s="1922"/>
      <c r="K1" s="1922"/>
      <c r="L1" s="1922"/>
      <c r="M1" s="1922"/>
      <c r="N1" s="1922"/>
      <c r="O1" s="1922"/>
    </row>
    <row r="2" spans="1:19" x14ac:dyDescent="0.3">
      <c r="A2" s="1922" t="str">
        <f>Tartalomjegyzék_2018!A2</f>
        <v>az Önkormányzat  2018. évi költségvetéséről</v>
      </c>
      <c r="B2" s="1922"/>
      <c r="C2" s="1922"/>
      <c r="D2" s="1922"/>
      <c r="E2" s="1922"/>
      <c r="F2" s="1922"/>
      <c r="G2" s="1922"/>
      <c r="H2" s="1922"/>
      <c r="I2" s="1922"/>
      <c r="J2" s="1922"/>
      <c r="K2" s="1922"/>
      <c r="L2" s="1922"/>
      <c r="M2" s="1922"/>
      <c r="N2" s="1922"/>
      <c r="O2" s="1922"/>
    </row>
    <row r="3" spans="1:19" x14ac:dyDescent="0.3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</row>
    <row r="4" spans="1:19" ht="17.25" customHeight="1" x14ac:dyDescent="0.3">
      <c r="A4" s="1922" t="str">
        <f>Tartalomjegyzék_2018!B35</f>
        <v>Pilisvörösvár Város Önkormányzata várható bevételi és kiadási előirányzatai teljesüléséről készített előirányzat-felhasználási ütemterv</v>
      </c>
      <c r="B4" s="1922"/>
      <c r="C4" s="1922"/>
      <c r="D4" s="1922"/>
      <c r="E4" s="1922"/>
      <c r="F4" s="1922"/>
      <c r="G4" s="1922"/>
      <c r="H4" s="1922"/>
      <c r="I4" s="1922"/>
      <c r="J4" s="1922"/>
      <c r="K4" s="1922"/>
      <c r="L4" s="1922"/>
      <c r="M4" s="1922"/>
      <c r="N4" s="1922"/>
      <c r="O4" s="1922"/>
    </row>
    <row r="5" spans="1:19" ht="24" customHeight="1" x14ac:dyDescent="0.3">
      <c r="B5" s="423"/>
      <c r="C5" s="424"/>
      <c r="D5" s="424"/>
      <c r="E5" s="424"/>
      <c r="F5" s="423"/>
      <c r="G5" s="425"/>
      <c r="H5" s="425"/>
      <c r="I5" s="425"/>
      <c r="J5" s="426"/>
      <c r="K5" s="426"/>
      <c r="L5" s="426"/>
      <c r="M5" s="426"/>
      <c r="N5" s="425"/>
      <c r="O5" s="427" t="s">
        <v>21</v>
      </c>
    </row>
    <row r="6" spans="1:19" ht="19.5" thickBot="1" x14ac:dyDescent="0.35">
      <c r="B6" s="428"/>
      <c r="C6" s="429"/>
      <c r="D6" s="429"/>
      <c r="E6" s="429"/>
      <c r="F6" s="429"/>
      <c r="G6" s="428"/>
      <c r="H6" s="430"/>
      <c r="I6" s="428"/>
      <c r="J6" s="428"/>
      <c r="K6" s="428"/>
      <c r="L6" s="429"/>
      <c r="M6" s="429"/>
      <c r="N6" s="429"/>
      <c r="O6" s="431" t="s">
        <v>364</v>
      </c>
    </row>
    <row r="7" spans="1:19" x14ac:dyDescent="0.3">
      <c r="A7" s="1512" t="s">
        <v>166</v>
      </c>
      <c r="B7" s="1513" t="s">
        <v>464</v>
      </c>
      <c r="C7" s="1513" t="s">
        <v>584</v>
      </c>
      <c r="D7" s="1513" t="s">
        <v>585</v>
      </c>
      <c r="E7" s="1513" t="s">
        <v>586</v>
      </c>
      <c r="F7" s="1513" t="s">
        <v>587</v>
      </c>
      <c r="G7" s="1513" t="s">
        <v>588</v>
      </c>
      <c r="H7" s="1513" t="s">
        <v>589</v>
      </c>
      <c r="I7" s="1513" t="s">
        <v>590</v>
      </c>
      <c r="J7" s="1513" t="s">
        <v>591</v>
      </c>
      <c r="K7" s="1513" t="s">
        <v>592</v>
      </c>
      <c r="L7" s="1513" t="s">
        <v>593</v>
      </c>
      <c r="M7" s="1513" t="s">
        <v>594</v>
      </c>
      <c r="N7" s="1513" t="s">
        <v>595</v>
      </c>
      <c r="O7" s="1514" t="s">
        <v>151</v>
      </c>
    </row>
    <row r="8" spans="1:19" ht="27.75" customHeight="1" x14ac:dyDescent="0.3">
      <c r="A8" s="1515"/>
      <c r="B8" s="433" t="s">
        <v>63</v>
      </c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1516"/>
    </row>
    <row r="9" spans="1:19" ht="27.75" customHeight="1" x14ac:dyDescent="0.3">
      <c r="A9" s="1515" t="s">
        <v>394</v>
      </c>
      <c r="B9" s="434" t="s">
        <v>921</v>
      </c>
      <c r="C9" s="436">
        <v>432</v>
      </c>
      <c r="D9" s="436">
        <v>432</v>
      </c>
      <c r="E9" s="436">
        <f>'2.Bevételek_részletes'!N13/2+'15. Működési bev. (B3,B4)'!E11/2+'15. Működési bev. (B3,B4)'!E12/2+132500+432+(165000/2)</f>
        <v>286432</v>
      </c>
      <c r="F9" s="432">
        <v>432</v>
      </c>
      <c r="G9" s="436">
        <f>50000+432</f>
        <v>50432</v>
      </c>
      <c r="H9" s="436">
        <v>432</v>
      </c>
      <c r="I9" s="436">
        <v>432</v>
      </c>
      <c r="J9" s="436">
        <v>432</v>
      </c>
      <c r="K9" s="436">
        <f>E9+432</f>
        <v>286864</v>
      </c>
      <c r="L9" s="436">
        <v>432</v>
      </c>
      <c r="M9" s="436">
        <v>436</v>
      </c>
      <c r="N9" s="436">
        <v>50000</v>
      </c>
      <c r="O9" s="1517">
        <f>SUM(C9:N9)</f>
        <v>677188</v>
      </c>
      <c r="Q9" s="435"/>
      <c r="R9" s="437"/>
    </row>
    <row r="10" spans="1:19" ht="27.75" customHeight="1" x14ac:dyDescent="0.3">
      <c r="A10" s="1515" t="s">
        <v>410</v>
      </c>
      <c r="B10" s="434" t="s">
        <v>920</v>
      </c>
      <c r="C10" s="436">
        <f>'2.Bevételek_részletes'!N25/12</f>
        <v>27389.86036333333</v>
      </c>
      <c r="D10" s="436">
        <f>C10</f>
        <v>27389.86036333333</v>
      </c>
      <c r="E10" s="436">
        <f t="shared" ref="E10:M10" si="0">D10</f>
        <v>27389.86036333333</v>
      </c>
      <c r="F10" s="436">
        <f t="shared" si="0"/>
        <v>27389.86036333333</v>
      </c>
      <c r="G10" s="436">
        <f t="shared" si="0"/>
        <v>27389.86036333333</v>
      </c>
      <c r="H10" s="436">
        <f t="shared" si="0"/>
        <v>27389.86036333333</v>
      </c>
      <c r="I10" s="436">
        <f t="shared" si="0"/>
        <v>27389.86036333333</v>
      </c>
      <c r="J10" s="436">
        <f t="shared" si="0"/>
        <v>27389.86036333333</v>
      </c>
      <c r="K10" s="436">
        <f t="shared" si="0"/>
        <v>27389.86036333333</v>
      </c>
      <c r="L10" s="436">
        <f t="shared" si="0"/>
        <v>27389.86036333333</v>
      </c>
      <c r="M10" s="436">
        <f t="shared" si="0"/>
        <v>27389.86036333333</v>
      </c>
      <c r="N10" s="436">
        <f>M10</f>
        <v>27389.86036333333</v>
      </c>
      <c r="O10" s="1517">
        <f>SUM(C10:N10)</f>
        <v>328678.32435999997</v>
      </c>
      <c r="Q10" s="435"/>
      <c r="R10" s="437"/>
    </row>
    <row r="11" spans="1:19" ht="27.75" customHeight="1" x14ac:dyDescent="0.3">
      <c r="A11" s="1515" t="s">
        <v>426</v>
      </c>
      <c r="B11" s="434" t="s">
        <v>596</v>
      </c>
      <c r="C11" s="436">
        <f>'16. Átvett pénze.(B6,B7)'!D25/12</f>
        <v>44.833333333333336</v>
      </c>
      <c r="D11" s="436">
        <f>C11</f>
        <v>44.833333333333336</v>
      </c>
      <c r="E11" s="436">
        <f t="shared" ref="E11:N12" si="1">D11</f>
        <v>44.833333333333336</v>
      </c>
      <c r="F11" s="436">
        <f t="shared" si="1"/>
        <v>44.833333333333336</v>
      </c>
      <c r="G11" s="436">
        <f t="shared" si="1"/>
        <v>44.833333333333336</v>
      </c>
      <c r="H11" s="436">
        <f t="shared" si="1"/>
        <v>44.833333333333336</v>
      </c>
      <c r="I11" s="436">
        <f t="shared" si="1"/>
        <v>44.833333333333336</v>
      </c>
      <c r="J11" s="436">
        <f t="shared" si="1"/>
        <v>44.833333333333336</v>
      </c>
      <c r="K11" s="436">
        <f t="shared" si="1"/>
        <v>44.833333333333336</v>
      </c>
      <c r="L11" s="436">
        <f t="shared" si="1"/>
        <v>44.833333333333336</v>
      </c>
      <c r="M11" s="436">
        <f t="shared" si="1"/>
        <v>44.833333333333336</v>
      </c>
      <c r="N11" s="436">
        <f t="shared" si="1"/>
        <v>44.833333333333336</v>
      </c>
      <c r="O11" s="1518">
        <f t="shared" ref="O11:O16" si="2">SUM(C11:N11)</f>
        <v>537.99999999999989</v>
      </c>
      <c r="Q11" s="435"/>
    </row>
    <row r="12" spans="1:19" ht="27.75" customHeight="1" x14ac:dyDescent="0.3">
      <c r="A12" s="1515" t="s">
        <v>385</v>
      </c>
      <c r="B12" s="434" t="s">
        <v>597</v>
      </c>
      <c r="C12" s="436">
        <f>'2.Bevételek_részletes'!N10*0.12</f>
        <v>113609.346741</v>
      </c>
      <c r="D12" s="436">
        <f>'2.Bevételek_részletes'!N10*0.08</f>
        <v>75739.564494000006</v>
      </c>
      <c r="E12" s="436">
        <f>D12</f>
        <v>75739.564494000006</v>
      </c>
      <c r="F12" s="436">
        <f t="shared" si="1"/>
        <v>75739.564494000006</v>
      </c>
      <c r="G12" s="436">
        <f t="shared" si="1"/>
        <v>75739.564494000006</v>
      </c>
      <c r="H12" s="436">
        <f t="shared" si="1"/>
        <v>75739.564494000006</v>
      </c>
      <c r="I12" s="436">
        <f t="shared" si="1"/>
        <v>75739.564494000006</v>
      </c>
      <c r="J12" s="436">
        <f t="shared" si="1"/>
        <v>75739.564494000006</v>
      </c>
      <c r="K12" s="436">
        <f t="shared" si="1"/>
        <v>75739.564494000006</v>
      </c>
      <c r="L12" s="436">
        <f t="shared" si="1"/>
        <v>75739.564494000006</v>
      </c>
      <c r="M12" s="436">
        <f t="shared" si="1"/>
        <v>75739.564494000006</v>
      </c>
      <c r="N12" s="436">
        <f t="shared" si="1"/>
        <v>75739.564494000006</v>
      </c>
      <c r="O12" s="1518">
        <f>SUM(C12:N12)</f>
        <v>946744.55617500027</v>
      </c>
      <c r="Q12" s="435"/>
      <c r="R12" s="421"/>
      <c r="S12" s="435"/>
    </row>
    <row r="13" spans="1:19" ht="27.75" customHeight="1" x14ac:dyDescent="0.3">
      <c r="A13" s="1515" t="s">
        <v>434</v>
      </c>
      <c r="B13" s="434" t="s">
        <v>598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1518">
        <f t="shared" si="2"/>
        <v>0</v>
      </c>
      <c r="Q13" s="435"/>
    </row>
    <row r="14" spans="1:19" ht="27.75" customHeight="1" x14ac:dyDescent="0.3">
      <c r="A14" s="1515" t="s">
        <v>649</v>
      </c>
      <c r="B14" s="434" t="s">
        <v>1058</v>
      </c>
      <c r="C14" s="436"/>
      <c r="D14" s="436"/>
      <c r="E14" s="436"/>
      <c r="F14" s="436"/>
      <c r="G14" s="436">
        <f>'2.Bevételek_részletes'!N40</f>
        <v>150000</v>
      </c>
      <c r="H14" s="436"/>
      <c r="I14" s="436"/>
      <c r="J14" s="436"/>
      <c r="K14" s="436"/>
      <c r="L14" s="436"/>
      <c r="M14" s="436"/>
      <c r="N14" s="436"/>
      <c r="O14" s="1518">
        <f t="shared" si="2"/>
        <v>150000</v>
      </c>
      <c r="Q14" s="435"/>
    </row>
    <row r="15" spans="1:19" ht="27.75" customHeight="1" x14ac:dyDescent="0.3">
      <c r="A15" s="1515" t="s">
        <v>922</v>
      </c>
      <c r="B15" s="434" t="s">
        <v>599</v>
      </c>
      <c r="C15" s="436">
        <f>1200/12</f>
        <v>100</v>
      </c>
      <c r="D15" s="436">
        <f t="shared" ref="D15:N15" si="3">1200/12</f>
        <v>100</v>
      </c>
      <c r="E15" s="436">
        <f>1200/12+750</f>
        <v>850</v>
      </c>
      <c r="F15" s="436">
        <f t="shared" si="3"/>
        <v>100</v>
      </c>
      <c r="G15" s="436">
        <f>1200/12+13800</f>
        <v>13900</v>
      </c>
      <c r="H15" s="436">
        <f t="shared" si="3"/>
        <v>100</v>
      </c>
      <c r="I15" s="436">
        <f t="shared" si="3"/>
        <v>100</v>
      </c>
      <c r="J15" s="436">
        <f t="shared" si="3"/>
        <v>100</v>
      </c>
      <c r="K15" s="436">
        <f t="shared" si="3"/>
        <v>100</v>
      </c>
      <c r="L15" s="436">
        <f t="shared" si="3"/>
        <v>100</v>
      </c>
      <c r="M15" s="436">
        <f t="shared" si="3"/>
        <v>100</v>
      </c>
      <c r="N15" s="436">
        <f t="shared" si="3"/>
        <v>100</v>
      </c>
      <c r="O15" s="1518">
        <f>SUM(C15:N15)</f>
        <v>15750</v>
      </c>
      <c r="Q15" s="435"/>
      <c r="R15" s="435"/>
    </row>
    <row r="16" spans="1:19" ht="27.75" customHeight="1" x14ac:dyDescent="0.3">
      <c r="A16" s="1515" t="s">
        <v>439</v>
      </c>
      <c r="B16" s="434" t="s">
        <v>683</v>
      </c>
      <c r="C16" s="436">
        <f>'17. finanszírozás be_ki (B8,K9)'!E15</f>
        <v>207182</v>
      </c>
      <c r="D16" s="436"/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1518">
        <f t="shared" si="2"/>
        <v>207182</v>
      </c>
      <c r="Q16" s="435"/>
    </row>
    <row r="17" spans="1:17" ht="27.75" customHeight="1" x14ac:dyDescent="0.3">
      <c r="A17" s="1515"/>
      <c r="B17" s="1519"/>
      <c r="C17" s="1520"/>
      <c r="D17" s="1520"/>
      <c r="E17" s="1520"/>
      <c r="F17" s="1520"/>
      <c r="G17" s="1520"/>
      <c r="H17" s="1520"/>
      <c r="I17" s="1520"/>
      <c r="J17" s="1520"/>
      <c r="K17" s="1520"/>
      <c r="L17" s="1520"/>
      <c r="M17" s="1520"/>
      <c r="N17" s="1520"/>
      <c r="O17" s="1521"/>
      <c r="Q17" s="435"/>
    </row>
    <row r="18" spans="1:17" ht="27.75" customHeight="1" thickBot="1" x14ac:dyDescent="0.35">
      <c r="A18" s="1533"/>
      <c r="B18" s="1534" t="s">
        <v>600</v>
      </c>
      <c r="C18" s="1535">
        <f>SUM(C9:C17)</f>
        <v>348758.0404376667</v>
      </c>
      <c r="D18" s="1535">
        <f>SUM(D9:D17)</f>
        <v>103706.25819066667</v>
      </c>
      <c r="E18" s="1535">
        <f t="shared" ref="E18:N18" si="4">SUM(E9:E17)</f>
        <v>390456.25819066662</v>
      </c>
      <c r="F18" s="1535">
        <f t="shared" si="4"/>
        <v>103706.25819066667</v>
      </c>
      <c r="G18" s="1535">
        <f>SUM(G9:G17)</f>
        <v>317506.25819066667</v>
      </c>
      <c r="H18" s="1535">
        <f t="shared" si="4"/>
        <v>103706.25819066667</v>
      </c>
      <c r="I18" s="1535">
        <f t="shared" si="4"/>
        <v>103706.25819066667</v>
      </c>
      <c r="J18" s="1535">
        <f t="shared" si="4"/>
        <v>103706.25819066667</v>
      </c>
      <c r="K18" s="1535">
        <f t="shared" si="4"/>
        <v>390138.25819066662</v>
      </c>
      <c r="L18" s="1535">
        <f t="shared" si="4"/>
        <v>103706.25819066667</v>
      </c>
      <c r="M18" s="1535">
        <f t="shared" si="4"/>
        <v>103710.25819066667</v>
      </c>
      <c r="N18" s="1535">
        <f t="shared" si="4"/>
        <v>153274.25819066667</v>
      </c>
      <c r="O18" s="1536">
        <f>SUM(O9:O17)</f>
        <v>2326080.880535</v>
      </c>
      <c r="Q18" s="435"/>
    </row>
    <row r="19" spans="1:17" ht="27.75" customHeight="1" thickBot="1" x14ac:dyDescent="0.35">
      <c r="A19" s="1522"/>
      <c r="B19" s="1523"/>
      <c r="C19" s="152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Q19" s="437"/>
    </row>
    <row r="20" spans="1:17" ht="27.75" customHeight="1" x14ac:dyDescent="0.3">
      <c r="A20" s="1525"/>
      <c r="B20" s="1526" t="s">
        <v>601</v>
      </c>
      <c r="C20" s="1527"/>
      <c r="D20" s="1527"/>
      <c r="E20" s="1527"/>
      <c r="F20" s="1527"/>
      <c r="G20" s="1527"/>
      <c r="H20" s="1527"/>
      <c r="I20" s="1527"/>
      <c r="J20" s="1527"/>
      <c r="K20" s="1527"/>
      <c r="L20" s="1527"/>
      <c r="M20" s="1527"/>
      <c r="N20" s="1527"/>
      <c r="O20" s="1528"/>
      <c r="Q20" s="437"/>
    </row>
    <row r="21" spans="1:17" ht="27.75" customHeight="1" x14ac:dyDescent="0.3">
      <c r="A21" s="1515" t="s">
        <v>526</v>
      </c>
      <c r="B21" s="434" t="s">
        <v>602</v>
      </c>
      <c r="C21" s="436">
        <f>('2.Kiadások_részletes '!N20-'22. Tartalékok (K512)'!D28)/12</f>
        <v>151822.337895</v>
      </c>
      <c r="D21" s="436">
        <f>C21</f>
        <v>151822.337895</v>
      </c>
      <c r="E21" s="436">
        <f t="shared" ref="E21:N21" si="5">D21</f>
        <v>151822.337895</v>
      </c>
      <c r="F21" s="436">
        <f t="shared" si="5"/>
        <v>151822.337895</v>
      </c>
      <c r="G21" s="436">
        <f t="shared" si="5"/>
        <v>151822.337895</v>
      </c>
      <c r="H21" s="436">
        <f t="shared" si="5"/>
        <v>151822.337895</v>
      </c>
      <c r="I21" s="436">
        <f t="shared" si="5"/>
        <v>151822.337895</v>
      </c>
      <c r="J21" s="436">
        <f t="shared" si="5"/>
        <v>151822.337895</v>
      </c>
      <c r="K21" s="436">
        <f t="shared" si="5"/>
        <v>151822.337895</v>
      </c>
      <c r="L21" s="436">
        <f t="shared" si="5"/>
        <v>151822.337895</v>
      </c>
      <c r="M21" s="436">
        <f t="shared" si="5"/>
        <v>151822.337895</v>
      </c>
      <c r="N21" s="436">
        <f t="shared" si="5"/>
        <v>151822.337895</v>
      </c>
      <c r="O21" s="1517">
        <f t="shared" ref="O21:O27" si="6">SUM(C21:N21)</f>
        <v>1821868.0547399996</v>
      </c>
      <c r="Q21" s="435"/>
    </row>
    <row r="22" spans="1:17" ht="27.75" customHeight="1" x14ac:dyDescent="0.3">
      <c r="A22" s="1515" t="s">
        <v>318</v>
      </c>
      <c r="B22" s="434" t="s">
        <v>603</v>
      </c>
      <c r="C22" s="436">
        <v>330</v>
      </c>
      <c r="D22" s="436"/>
      <c r="E22" s="436"/>
      <c r="F22" s="436">
        <v>330</v>
      </c>
      <c r="G22" s="436"/>
      <c r="H22" s="436"/>
      <c r="I22" s="436">
        <v>330</v>
      </c>
      <c r="J22" s="436"/>
      <c r="K22" s="436"/>
      <c r="L22" s="436">
        <v>330</v>
      </c>
      <c r="M22" s="436"/>
      <c r="N22" s="436"/>
      <c r="O22" s="1529">
        <f t="shared" si="6"/>
        <v>1320</v>
      </c>
      <c r="Q22" s="435"/>
    </row>
    <row r="23" spans="1:17" ht="27.75" customHeight="1" x14ac:dyDescent="0.3">
      <c r="A23" s="1515" t="s">
        <v>310</v>
      </c>
      <c r="B23" s="434" t="s">
        <v>604</v>
      </c>
      <c r="C23" s="432"/>
      <c r="D23" s="436"/>
      <c r="E23" s="436"/>
      <c r="F23" s="436">
        <f>'2.Kiadások_részletes '!N22/5</f>
        <v>8452.6</v>
      </c>
      <c r="G23" s="436">
        <f>F23</f>
        <v>8452.6</v>
      </c>
      <c r="H23" s="436">
        <f t="shared" ref="H23:J23" si="7">G23</f>
        <v>8452.6</v>
      </c>
      <c r="I23" s="436">
        <f t="shared" si="7"/>
        <v>8452.6</v>
      </c>
      <c r="J23" s="436">
        <f t="shared" si="7"/>
        <v>8452.6</v>
      </c>
      <c r="K23" s="436"/>
      <c r="L23" s="436"/>
      <c r="M23" s="436"/>
      <c r="N23" s="436"/>
      <c r="O23" s="1529">
        <f>SUM(D23:N23)</f>
        <v>42263</v>
      </c>
      <c r="Q23" s="435"/>
    </row>
    <row r="24" spans="1:17" ht="27.75" customHeight="1" x14ac:dyDescent="0.3">
      <c r="A24" s="1515" t="s">
        <v>309</v>
      </c>
      <c r="B24" s="434" t="s">
        <v>605</v>
      </c>
      <c r="C24" s="436"/>
      <c r="D24" s="436"/>
      <c r="E24" s="436"/>
      <c r="F24" s="436">
        <f>'2.Kiadások_részletes '!N21/9</f>
        <v>32877.777777777781</v>
      </c>
      <c r="G24" s="436">
        <f>F24</f>
        <v>32877.777777777781</v>
      </c>
      <c r="H24" s="436">
        <f t="shared" ref="H24:N24" si="8">G24</f>
        <v>32877.777777777781</v>
      </c>
      <c r="I24" s="436">
        <f t="shared" si="8"/>
        <v>32877.777777777781</v>
      </c>
      <c r="J24" s="436">
        <f t="shared" si="8"/>
        <v>32877.777777777781</v>
      </c>
      <c r="K24" s="436">
        <f t="shared" si="8"/>
        <v>32877.777777777781</v>
      </c>
      <c r="L24" s="436">
        <f t="shared" si="8"/>
        <v>32877.777777777781</v>
      </c>
      <c r="M24" s="436">
        <f t="shared" si="8"/>
        <v>32877.777777777781</v>
      </c>
      <c r="N24" s="436">
        <f t="shared" si="8"/>
        <v>32877.777777777781</v>
      </c>
      <c r="O24" s="1529">
        <f t="shared" si="6"/>
        <v>295900</v>
      </c>
      <c r="Q24" s="435"/>
    </row>
    <row r="25" spans="1:17" ht="27.75" customHeight="1" x14ac:dyDescent="0.3">
      <c r="A25" s="1515" t="s">
        <v>304</v>
      </c>
      <c r="B25" s="434" t="s">
        <v>606</v>
      </c>
      <c r="C25" s="436"/>
      <c r="D25" s="432"/>
      <c r="E25" s="436"/>
      <c r="F25" s="436">
        <f>('22. Tartalékok (K512)'!D28-'22. Tartalékok (K512)'!D10)/9</f>
        <v>5438.1111111111113</v>
      </c>
      <c r="G25" s="436">
        <f>F25</f>
        <v>5438.1111111111113</v>
      </c>
      <c r="H25" s="436">
        <f t="shared" ref="H25:M25" si="9">G25</f>
        <v>5438.1111111111113</v>
      </c>
      <c r="I25" s="436">
        <f t="shared" si="9"/>
        <v>5438.1111111111113</v>
      </c>
      <c r="J25" s="436">
        <f t="shared" si="9"/>
        <v>5438.1111111111113</v>
      </c>
      <c r="K25" s="436">
        <f t="shared" si="9"/>
        <v>5438.1111111111113</v>
      </c>
      <c r="L25" s="436">
        <f t="shared" si="9"/>
        <v>5438.1111111111113</v>
      </c>
      <c r="M25" s="436">
        <f t="shared" si="9"/>
        <v>5438.1111111111113</v>
      </c>
      <c r="N25" s="436">
        <f>M25+'22. Tartalékok (K512)'!D10</f>
        <v>91943.111111111109</v>
      </c>
      <c r="O25" s="1529">
        <f t="shared" si="6"/>
        <v>135448</v>
      </c>
      <c r="Q25" s="435"/>
    </row>
    <row r="26" spans="1:17" ht="33" x14ac:dyDescent="0.3">
      <c r="A26" s="1515" t="s">
        <v>314</v>
      </c>
      <c r="B26" s="108" t="s">
        <v>847</v>
      </c>
      <c r="C26" s="436"/>
      <c r="D26" s="432"/>
      <c r="E26" s="436"/>
      <c r="F26" s="436">
        <f>'21. Pe. átad. és tám. (K5)'!E38</f>
        <v>7846</v>
      </c>
      <c r="G26" s="436"/>
      <c r="H26" s="436"/>
      <c r="I26" s="436"/>
      <c r="J26" s="436"/>
      <c r="K26" s="436"/>
      <c r="L26" s="436"/>
      <c r="M26" s="436"/>
      <c r="N26" s="436"/>
      <c r="O26" s="1529">
        <f t="shared" si="6"/>
        <v>7846</v>
      </c>
      <c r="Q26" s="435"/>
    </row>
    <row r="27" spans="1:17" ht="27.75" customHeight="1" x14ac:dyDescent="0.3">
      <c r="A27" s="1515" t="s">
        <v>714</v>
      </c>
      <c r="B27" s="434" t="s">
        <v>919</v>
      </c>
      <c r="C27" s="436">
        <f>'17. finanszírozás be_ki (B8,K9)'!E31</f>
        <v>21436</v>
      </c>
      <c r="D27" s="432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1529">
        <f t="shared" si="6"/>
        <v>21436</v>
      </c>
      <c r="Q27" s="435"/>
    </row>
    <row r="28" spans="1:17" ht="27.75" customHeight="1" x14ac:dyDescent="0.3">
      <c r="A28" s="1515"/>
      <c r="B28" s="434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1517"/>
      <c r="Q28" s="435"/>
    </row>
    <row r="29" spans="1:17" ht="27.75" customHeight="1" thickBot="1" x14ac:dyDescent="0.35">
      <c r="A29" s="1533"/>
      <c r="B29" s="1534" t="s">
        <v>607</v>
      </c>
      <c r="C29" s="1535">
        <f>SUM(C21:C28)</f>
        <v>173588.337895</v>
      </c>
      <c r="D29" s="1535">
        <f>SUM(D21:D28)</f>
        <v>151822.337895</v>
      </c>
      <c r="E29" s="1535">
        <f t="shared" ref="E29:M29" si="10">SUM(E21:E28)</f>
        <v>151822.337895</v>
      </c>
      <c r="F29" s="1535">
        <f t="shared" si="10"/>
        <v>206766.82678388892</v>
      </c>
      <c r="G29" s="1535">
        <f t="shared" si="10"/>
        <v>198590.82678388892</v>
      </c>
      <c r="H29" s="1535">
        <f t="shared" si="10"/>
        <v>198590.82678388892</v>
      </c>
      <c r="I29" s="1535">
        <f t="shared" si="10"/>
        <v>198920.82678388892</v>
      </c>
      <c r="J29" s="1535">
        <f t="shared" si="10"/>
        <v>198590.82678388892</v>
      </c>
      <c r="K29" s="1535">
        <f t="shared" si="10"/>
        <v>190138.22678388891</v>
      </c>
      <c r="L29" s="1535">
        <f t="shared" si="10"/>
        <v>190468.22678388891</v>
      </c>
      <c r="M29" s="1535">
        <f t="shared" si="10"/>
        <v>190138.22678388891</v>
      </c>
      <c r="N29" s="1535">
        <f>N21+N22+N23+N24+N25</f>
        <v>276643.22678388888</v>
      </c>
      <c r="O29" s="1536">
        <f>SUM(O21:O28)</f>
        <v>2326081.0547399996</v>
      </c>
      <c r="Q29" s="435"/>
    </row>
    <row r="30" spans="1:17" ht="27.75" customHeight="1" thickBot="1" x14ac:dyDescent="0.35">
      <c r="A30" s="1530"/>
      <c r="B30" s="1531"/>
      <c r="C30" s="1532"/>
      <c r="D30" s="1532"/>
      <c r="E30" s="1532"/>
      <c r="F30" s="1532"/>
      <c r="G30" s="1532"/>
      <c r="H30" s="1532"/>
      <c r="I30" s="1532"/>
      <c r="J30" s="1532"/>
      <c r="K30" s="1532"/>
      <c r="L30" s="1532"/>
      <c r="M30" s="1532"/>
      <c r="N30" s="1532"/>
      <c r="O30" s="1532"/>
    </row>
    <row r="31" spans="1:17" ht="27.75" customHeight="1" thickBot="1" x14ac:dyDescent="0.35">
      <c r="A31" s="674"/>
      <c r="B31" s="675" t="s">
        <v>608</v>
      </c>
      <c r="C31" s="676">
        <f t="shared" ref="C31:N31" si="11">C18-C29</f>
        <v>175169.7025426667</v>
      </c>
      <c r="D31" s="676">
        <f t="shared" si="11"/>
        <v>-48116.07970433333</v>
      </c>
      <c r="E31" s="676">
        <f t="shared" si="11"/>
        <v>238633.92029566661</v>
      </c>
      <c r="F31" s="676">
        <f t="shared" si="11"/>
        <v>-103060.56859322224</v>
      </c>
      <c r="G31" s="676">
        <f t="shared" si="11"/>
        <v>118915.43140677776</v>
      </c>
      <c r="H31" s="676">
        <f t="shared" si="11"/>
        <v>-94884.56859322224</v>
      </c>
      <c r="I31" s="676">
        <f t="shared" si="11"/>
        <v>-95214.56859322224</v>
      </c>
      <c r="J31" s="676">
        <f t="shared" si="11"/>
        <v>-94884.56859322224</v>
      </c>
      <c r="K31" s="676">
        <f t="shared" si="11"/>
        <v>200000.03140677771</v>
      </c>
      <c r="L31" s="676">
        <f t="shared" si="11"/>
        <v>-86761.968593222235</v>
      </c>
      <c r="M31" s="676">
        <f t="shared" si="11"/>
        <v>-86427.968593222235</v>
      </c>
      <c r="N31" s="676">
        <f t="shared" si="11"/>
        <v>-123368.96859322221</v>
      </c>
      <c r="O31" s="676">
        <f>O29-O18</f>
        <v>0.17420499958097935</v>
      </c>
    </row>
    <row r="32" spans="1:17" x14ac:dyDescent="0.3">
      <c r="B32" s="428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</row>
    <row r="35" spans="3:3" x14ac:dyDescent="0.3">
      <c r="C35" s="435"/>
    </row>
  </sheetData>
  <mergeCells count="3">
    <mergeCell ref="A2:O2"/>
    <mergeCell ref="A1:O1"/>
    <mergeCell ref="A4:O4"/>
  </mergeCells>
  <phoneticPr fontId="57" type="noConversion"/>
  <printOptions horizontalCentered="1"/>
  <pageMargins left="0.16" right="0.24" top="0.22" bottom="0.74803149606299213" header="0.31496062992125984" footer="0.31496062992125984"/>
  <pageSetup paperSize="9" scale="6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6"/>
  <sheetViews>
    <sheetView view="pageBreakPreview" zoomScaleNormal="90" zoomScaleSheetLayoutView="100" workbookViewId="0">
      <pane ySplit="8" topLeftCell="A9" activePane="bottomLeft" state="frozen"/>
      <selection activeCell="B32" sqref="B32"/>
      <selection pane="bottomLeft" sqref="A1:H1"/>
    </sheetView>
  </sheetViews>
  <sheetFormatPr defaultRowHeight="12.75" x14ac:dyDescent="0.2"/>
  <cols>
    <col min="1" max="1" width="29.7109375" style="74" customWidth="1"/>
    <col min="2" max="2" width="16" style="74" customWidth="1"/>
    <col min="3" max="3" width="13.42578125" style="74" customWidth="1"/>
    <col min="4" max="4" width="13.28515625" style="74" customWidth="1"/>
    <col min="5" max="5" width="14" style="74" customWidth="1"/>
    <col min="6" max="6" width="11.42578125" style="74" customWidth="1"/>
    <col min="7" max="7" width="14.85546875" style="74" customWidth="1"/>
    <col min="8" max="8" width="12.140625" style="74" customWidth="1"/>
    <col min="9" max="16384" width="9.140625" style="74"/>
  </cols>
  <sheetData>
    <row r="1" spans="1:10" ht="15.75" customHeight="1" x14ac:dyDescent="0.3">
      <c r="A1" s="1923" t="str">
        <f>Tartalomjegyzék_2018!A1</f>
        <v>Pilisvörösvár Város Önkormányzata Képviselő-testületének 2/2018. (II. 9.) önkormányzati rendelete</v>
      </c>
      <c r="B1" s="1923"/>
      <c r="C1" s="1923"/>
      <c r="D1" s="1923"/>
      <c r="E1" s="1923"/>
      <c r="F1" s="1923"/>
      <c r="G1" s="1923"/>
      <c r="H1" s="1923"/>
      <c r="I1" s="393"/>
      <c r="J1" s="393"/>
    </row>
    <row r="2" spans="1:10" ht="19.5" customHeight="1" x14ac:dyDescent="0.3">
      <c r="A2" s="1923" t="str">
        <f>Tartalomjegyzék_2018!A2</f>
        <v>az Önkormányzat  2018. évi költségvetéséről</v>
      </c>
      <c r="B2" s="1923"/>
      <c r="C2" s="1923"/>
      <c r="D2" s="1923"/>
      <c r="E2" s="1923"/>
      <c r="F2" s="1923"/>
      <c r="G2" s="1923"/>
      <c r="H2" s="1923"/>
      <c r="I2" s="393"/>
      <c r="J2" s="393"/>
    </row>
    <row r="3" spans="1:10" ht="12.75" customHeight="1" x14ac:dyDescent="0.3">
      <c r="A3" s="583"/>
      <c r="B3" s="583"/>
      <c r="C3" s="583"/>
      <c r="D3" s="583"/>
      <c r="E3" s="583"/>
      <c r="F3" s="583"/>
      <c r="G3" s="583"/>
      <c r="H3" s="583"/>
      <c r="I3" s="215"/>
      <c r="J3" s="215"/>
    </row>
    <row r="4" spans="1:10" ht="15.75" customHeight="1" x14ac:dyDescent="0.2">
      <c r="A4" s="1924" t="str">
        <f>Tartalomjegyzék_2018!B36</f>
        <v>Pilisvörösvár Város Önkormányzata intézményeinek finanszírozási ütemterve</v>
      </c>
      <c r="B4" s="1925"/>
      <c r="C4" s="1925"/>
      <c r="D4" s="1925"/>
      <c r="E4" s="1925"/>
      <c r="F4" s="1925"/>
      <c r="G4" s="1925"/>
      <c r="H4" s="1926"/>
      <c r="I4" s="216"/>
      <c r="J4" s="216"/>
    </row>
    <row r="5" spans="1:10" s="75" customFormat="1" ht="15.75" customHeight="1" x14ac:dyDescent="0.2">
      <c r="A5" s="518"/>
      <c r="B5" s="519"/>
      <c r="C5" s="519"/>
      <c r="D5" s="519"/>
      <c r="E5" s="519"/>
      <c r="F5" s="519"/>
      <c r="G5" s="519"/>
      <c r="H5" s="1033" t="s">
        <v>22</v>
      </c>
      <c r="I5" s="217"/>
      <c r="J5" s="217"/>
    </row>
    <row r="6" spans="1:10" s="75" customFormat="1" ht="15.75" customHeight="1" thickBot="1" x14ac:dyDescent="0.25">
      <c r="A6" s="218"/>
      <c r="B6" s="219"/>
      <c r="C6" s="219"/>
      <c r="D6" s="219"/>
      <c r="E6" s="219"/>
      <c r="F6" s="219"/>
      <c r="G6" s="219"/>
      <c r="H6" s="1031" t="s">
        <v>364</v>
      </c>
      <c r="I6" s="217"/>
      <c r="J6" s="217"/>
    </row>
    <row r="7" spans="1:10" s="75" customFormat="1" ht="44.25" customHeight="1" thickBot="1" x14ac:dyDescent="0.25">
      <c r="A7" s="683" t="s">
        <v>609</v>
      </c>
      <c r="B7" s="684" t="s">
        <v>610</v>
      </c>
      <c r="C7" s="684" t="s">
        <v>611</v>
      </c>
      <c r="D7" s="684" t="s">
        <v>102</v>
      </c>
      <c r="E7" s="684" t="s">
        <v>572</v>
      </c>
      <c r="F7" s="685" t="s">
        <v>574</v>
      </c>
      <c r="G7" s="684" t="s">
        <v>367</v>
      </c>
      <c r="H7" s="686" t="s">
        <v>450</v>
      </c>
      <c r="I7" s="217"/>
      <c r="J7" s="217"/>
    </row>
    <row r="8" spans="1:10" s="75" customFormat="1" ht="72.75" customHeight="1" x14ac:dyDescent="0.2">
      <c r="A8" s="221" t="s">
        <v>151</v>
      </c>
      <c r="B8" s="677">
        <f>B10+B12+B14+B16+B18+B20+B22+B24+B26+B28+B30+B32</f>
        <v>423103.37174000009</v>
      </c>
      <c r="C8" s="677">
        <f>C10+C12+C14+C16+C18+C20+C22+C24+C26+C28+C30+C32</f>
        <v>174696</v>
      </c>
      <c r="D8" s="677">
        <f t="shared" ref="C8:G9" si="0">D10+D12+D14+D16+D18+D20+D22+D24+D26+D28+D30+D32</f>
        <v>220012.99999999997</v>
      </c>
      <c r="E8" s="677">
        <f t="shared" si="0"/>
        <v>73666</v>
      </c>
      <c r="F8" s="677">
        <f t="shared" si="0"/>
        <v>28532.000000000004</v>
      </c>
      <c r="G8" s="677">
        <f t="shared" si="0"/>
        <v>25562.000000000004</v>
      </c>
      <c r="H8" s="678">
        <f>SUM(B8:G8)</f>
        <v>945572.37174000009</v>
      </c>
      <c r="I8" s="220"/>
      <c r="J8" s="220"/>
    </row>
    <row r="9" spans="1:10" s="75" customFormat="1" ht="28.5" customHeight="1" x14ac:dyDescent="0.2">
      <c r="A9" s="222" t="s">
        <v>612</v>
      </c>
      <c r="B9" s="677">
        <f t="shared" ref="B9" si="1">B11+B13+B15+B17+B19+B21+B23+B25+B27+B29+B31+B33</f>
        <v>194945.74174</v>
      </c>
      <c r="C9" s="677">
        <f t="shared" si="0"/>
        <v>13753.999999999998</v>
      </c>
      <c r="D9" s="677">
        <f t="shared" si="0"/>
        <v>22040.000000000004</v>
      </c>
      <c r="E9" s="677">
        <f t="shared" si="0"/>
        <v>54532.999999999993</v>
      </c>
      <c r="F9" s="677">
        <f t="shared" si="0"/>
        <v>3331.0000000000005</v>
      </c>
      <c r="G9" s="677">
        <f t="shared" si="0"/>
        <v>3984</v>
      </c>
      <c r="H9" s="678">
        <f t="shared" ref="H9:H35" si="2">SUM(B9:G9)</f>
        <v>292587.74173999997</v>
      </c>
      <c r="I9" s="220"/>
      <c r="J9" s="220"/>
    </row>
    <row r="10" spans="1:10" s="76" customFormat="1" ht="28.5" customHeight="1" x14ac:dyDescent="0.2">
      <c r="A10" s="224" t="s">
        <v>613</v>
      </c>
      <c r="B10" s="679">
        <f>B38/12</f>
        <v>35258.614311666664</v>
      </c>
      <c r="C10" s="679">
        <f>C38/12</f>
        <v>14558</v>
      </c>
      <c r="D10" s="679">
        <f>$D$38/12</f>
        <v>18334.416666666668</v>
      </c>
      <c r="E10" s="679">
        <f>$E$38/12</f>
        <v>6138.833333333333</v>
      </c>
      <c r="F10" s="679">
        <f>$F$38/12</f>
        <v>2377.6666666666665</v>
      </c>
      <c r="G10" s="679">
        <f>$G$38/12</f>
        <v>2130.1666666666665</v>
      </c>
      <c r="H10" s="678">
        <f t="shared" si="2"/>
        <v>78797.697645000007</v>
      </c>
      <c r="I10" s="223"/>
      <c r="J10" s="223"/>
    </row>
    <row r="11" spans="1:10" s="77" customFormat="1" ht="28.5" customHeight="1" x14ac:dyDescent="0.2">
      <c r="A11" s="222" t="s">
        <v>612</v>
      </c>
      <c r="B11" s="680">
        <f>B39/12</f>
        <v>16245.478478333333</v>
      </c>
      <c r="C11" s="680">
        <f>C39/12</f>
        <v>1146.1666666666667</v>
      </c>
      <c r="D11" s="680">
        <f>$D$39/12</f>
        <v>1836.6666666666667</v>
      </c>
      <c r="E11" s="680">
        <f>$E$39/12</f>
        <v>4544.416666666667</v>
      </c>
      <c r="F11" s="680">
        <f>$F$39/12</f>
        <v>277.58333333333331</v>
      </c>
      <c r="G11" s="680">
        <f>$G$39/12</f>
        <v>332</v>
      </c>
      <c r="H11" s="678">
        <f t="shared" si="2"/>
        <v>24382.311811666666</v>
      </c>
      <c r="I11" s="225"/>
      <c r="J11" s="226"/>
    </row>
    <row r="12" spans="1:10" s="76" customFormat="1" ht="28.5" customHeight="1" x14ac:dyDescent="0.2">
      <c r="A12" s="224" t="s">
        <v>614</v>
      </c>
      <c r="B12" s="679">
        <f>B38/12</f>
        <v>35258.614311666664</v>
      </c>
      <c r="C12" s="679">
        <f>C38/12</f>
        <v>14558</v>
      </c>
      <c r="D12" s="679">
        <f t="shared" ref="D12" si="3">$D$38/12</f>
        <v>18334.416666666668</v>
      </c>
      <c r="E12" s="679">
        <f t="shared" ref="E12" si="4">$E$38/12</f>
        <v>6138.833333333333</v>
      </c>
      <c r="F12" s="679">
        <f t="shared" ref="F12" si="5">$F$38/12</f>
        <v>2377.6666666666665</v>
      </c>
      <c r="G12" s="679">
        <f t="shared" ref="G12" si="6">$G$38/12</f>
        <v>2130.1666666666665</v>
      </c>
      <c r="H12" s="678">
        <f t="shared" si="2"/>
        <v>78797.697645000007</v>
      </c>
      <c r="I12" s="227"/>
      <c r="J12" s="223"/>
    </row>
    <row r="13" spans="1:10" s="77" customFormat="1" ht="28.5" customHeight="1" x14ac:dyDescent="0.2">
      <c r="A13" s="222" t="s">
        <v>612</v>
      </c>
      <c r="B13" s="680">
        <f>B39/12</f>
        <v>16245.478478333333</v>
      </c>
      <c r="C13" s="680">
        <f>C39/12</f>
        <v>1146.1666666666667</v>
      </c>
      <c r="D13" s="680">
        <f t="shared" ref="D13" si="7">$D$39/12</f>
        <v>1836.6666666666667</v>
      </c>
      <c r="E13" s="680">
        <f t="shared" ref="E13" si="8">$E$39/12</f>
        <v>4544.416666666667</v>
      </c>
      <c r="F13" s="680">
        <f t="shared" ref="F13" si="9">$F$39/12</f>
        <v>277.58333333333331</v>
      </c>
      <c r="G13" s="680">
        <f t="shared" ref="G13" si="10">$G$39/12</f>
        <v>332</v>
      </c>
      <c r="H13" s="678">
        <f t="shared" si="2"/>
        <v>24382.311811666666</v>
      </c>
      <c r="I13" s="225"/>
      <c r="J13" s="228"/>
    </row>
    <row r="14" spans="1:10" s="76" customFormat="1" ht="28.5" customHeight="1" x14ac:dyDescent="0.2">
      <c r="A14" s="224" t="s">
        <v>615</v>
      </c>
      <c r="B14" s="679">
        <f>B38/12</f>
        <v>35258.614311666664</v>
      </c>
      <c r="C14" s="679">
        <f>C38/12</f>
        <v>14558</v>
      </c>
      <c r="D14" s="679">
        <f t="shared" ref="D14" si="11">$D$38/12</f>
        <v>18334.416666666668</v>
      </c>
      <c r="E14" s="679">
        <f t="shared" ref="E14" si="12">$E$38/12</f>
        <v>6138.833333333333</v>
      </c>
      <c r="F14" s="679">
        <f t="shared" ref="F14" si="13">$F$38/12</f>
        <v>2377.6666666666665</v>
      </c>
      <c r="G14" s="679">
        <f t="shared" ref="G14" si="14">$G$38/12</f>
        <v>2130.1666666666665</v>
      </c>
      <c r="H14" s="678">
        <f t="shared" si="2"/>
        <v>78797.697645000007</v>
      </c>
      <c r="I14" s="227"/>
      <c r="J14" s="229"/>
    </row>
    <row r="15" spans="1:10" s="77" customFormat="1" ht="28.5" customHeight="1" x14ac:dyDescent="0.2">
      <c r="A15" s="222" t="s">
        <v>612</v>
      </c>
      <c r="B15" s="679">
        <f>B39/12</f>
        <v>16245.478478333333</v>
      </c>
      <c r="C15" s="679">
        <f>C39/12</f>
        <v>1146.1666666666667</v>
      </c>
      <c r="D15" s="680">
        <f t="shared" ref="D15" si="15">$D$39/12</f>
        <v>1836.6666666666667</v>
      </c>
      <c r="E15" s="680">
        <f t="shared" ref="E15" si="16">$E$39/12</f>
        <v>4544.416666666667</v>
      </c>
      <c r="F15" s="680">
        <f t="shared" ref="F15" si="17">$F$39/12</f>
        <v>277.58333333333331</v>
      </c>
      <c r="G15" s="680">
        <f t="shared" ref="G15" si="18">$G$39/12</f>
        <v>332</v>
      </c>
      <c r="H15" s="678">
        <f t="shared" si="2"/>
        <v>24382.311811666666</v>
      </c>
      <c r="I15" s="225"/>
      <c r="J15" s="228"/>
    </row>
    <row r="16" spans="1:10" s="76" customFormat="1" ht="28.5" customHeight="1" x14ac:dyDescent="0.2">
      <c r="A16" s="224" t="s">
        <v>616</v>
      </c>
      <c r="B16" s="679">
        <f>B38/12</f>
        <v>35258.614311666664</v>
      </c>
      <c r="C16" s="679">
        <f>C38/12</f>
        <v>14558</v>
      </c>
      <c r="D16" s="679">
        <f t="shared" ref="D16" si="19">$D$38/12</f>
        <v>18334.416666666668</v>
      </c>
      <c r="E16" s="679">
        <f t="shared" ref="E16" si="20">$E$38/12</f>
        <v>6138.833333333333</v>
      </c>
      <c r="F16" s="679">
        <f t="shared" ref="F16" si="21">$F$38/12</f>
        <v>2377.6666666666665</v>
      </c>
      <c r="G16" s="679">
        <f t="shared" ref="G16" si="22">$G$38/12</f>
        <v>2130.1666666666665</v>
      </c>
      <c r="H16" s="678">
        <f t="shared" si="2"/>
        <v>78797.697645000007</v>
      </c>
      <c r="I16" s="227"/>
      <c r="J16" s="229"/>
    </row>
    <row r="17" spans="1:10" s="77" customFormat="1" ht="28.5" customHeight="1" x14ac:dyDescent="0.2">
      <c r="A17" s="222" t="s">
        <v>612</v>
      </c>
      <c r="B17" s="679">
        <f>B39/12</f>
        <v>16245.478478333333</v>
      </c>
      <c r="C17" s="679">
        <f>C39/12</f>
        <v>1146.1666666666667</v>
      </c>
      <c r="D17" s="680">
        <f t="shared" ref="D17" si="23">$D$39/12</f>
        <v>1836.6666666666667</v>
      </c>
      <c r="E17" s="680">
        <f t="shared" ref="E17" si="24">$E$39/12</f>
        <v>4544.416666666667</v>
      </c>
      <c r="F17" s="680">
        <f t="shared" ref="F17" si="25">$F$39/12</f>
        <v>277.58333333333331</v>
      </c>
      <c r="G17" s="680">
        <f t="shared" ref="G17" si="26">$G$39/12</f>
        <v>332</v>
      </c>
      <c r="H17" s="678">
        <f t="shared" si="2"/>
        <v>24382.311811666666</v>
      </c>
      <c r="I17" s="225"/>
      <c r="J17" s="228"/>
    </row>
    <row r="18" spans="1:10" s="76" customFormat="1" ht="28.5" customHeight="1" x14ac:dyDescent="0.2">
      <c r="A18" s="230" t="s">
        <v>617</v>
      </c>
      <c r="B18" s="679">
        <f>B38/12</f>
        <v>35258.614311666664</v>
      </c>
      <c r="C18" s="679">
        <f>C38/12</f>
        <v>14558</v>
      </c>
      <c r="D18" s="679">
        <f t="shared" ref="D18" si="27">$D$38/12</f>
        <v>18334.416666666668</v>
      </c>
      <c r="E18" s="679">
        <f t="shared" ref="E18" si="28">$E$38/12</f>
        <v>6138.833333333333</v>
      </c>
      <c r="F18" s="679">
        <f t="shared" ref="F18" si="29">$F$38/12</f>
        <v>2377.6666666666665</v>
      </c>
      <c r="G18" s="679">
        <f t="shared" ref="G18" si="30">$G$38/12</f>
        <v>2130.1666666666665</v>
      </c>
      <c r="H18" s="678">
        <f t="shared" si="2"/>
        <v>78797.697645000007</v>
      </c>
      <c r="I18" s="227"/>
      <c r="J18" s="229"/>
    </row>
    <row r="19" spans="1:10" s="78" customFormat="1" ht="28.5" customHeight="1" x14ac:dyDescent="0.2">
      <c r="A19" s="222" t="s">
        <v>612</v>
      </c>
      <c r="B19" s="679">
        <f>B39/12</f>
        <v>16245.478478333333</v>
      </c>
      <c r="C19" s="679">
        <f>C39/12</f>
        <v>1146.1666666666667</v>
      </c>
      <c r="D19" s="680">
        <f t="shared" ref="D19" si="31">$D$39/12</f>
        <v>1836.6666666666667</v>
      </c>
      <c r="E19" s="680">
        <f t="shared" ref="E19" si="32">$E$39/12</f>
        <v>4544.416666666667</v>
      </c>
      <c r="F19" s="680">
        <f t="shared" ref="F19" si="33">$F$39/12</f>
        <v>277.58333333333331</v>
      </c>
      <c r="G19" s="680">
        <f t="shared" ref="G19" si="34">$G$39/12</f>
        <v>332</v>
      </c>
      <c r="H19" s="678">
        <f t="shared" si="2"/>
        <v>24382.311811666666</v>
      </c>
      <c r="I19" s="231"/>
      <c r="J19" s="232"/>
    </row>
    <row r="20" spans="1:10" s="76" customFormat="1" ht="28.5" customHeight="1" x14ac:dyDescent="0.2">
      <c r="A20" s="224" t="s">
        <v>618</v>
      </c>
      <c r="B20" s="679">
        <f>B$38/12</f>
        <v>35258.614311666664</v>
      </c>
      <c r="C20" s="679">
        <f>C38/12</f>
        <v>14558</v>
      </c>
      <c r="D20" s="679">
        <f t="shared" ref="D20" si="35">$D$38/12</f>
        <v>18334.416666666668</v>
      </c>
      <c r="E20" s="679">
        <f t="shared" ref="E20" si="36">$E$38/12</f>
        <v>6138.833333333333</v>
      </c>
      <c r="F20" s="679">
        <f t="shared" ref="F20" si="37">$F$38/12</f>
        <v>2377.6666666666665</v>
      </c>
      <c r="G20" s="679">
        <f t="shared" ref="G20" si="38">$G$38/12</f>
        <v>2130.1666666666665</v>
      </c>
      <c r="H20" s="678">
        <f t="shared" si="2"/>
        <v>78797.697645000007</v>
      </c>
      <c r="I20" s="227"/>
      <c r="J20" s="229"/>
    </row>
    <row r="21" spans="1:10" s="77" customFormat="1" ht="28.5" customHeight="1" x14ac:dyDescent="0.2">
      <c r="A21" s="222" t="s">
        <v>612</v>
      </c>
      <c r="B21" s="680">
        <f>B$39/12</f>
        <v>16245.478478333333</v>
      </c>
      <c r="C21" s="680">
        <f>C39/12</f>
        <v>1146.1666666666667</v>
      </c>
      <c r="D21" s="680">
        <f t="shared" ref="D21" si="39">$D$39/12</f>
        <v>1836.6666666666667</v>
      </c>
      <c r="E21" s="680">
        <f t="shared" ref="E21" si="40">$E$39/12</f>
        <v>4544.416666666667</v>
      </c>
      <c r="F21" s="680">
        <f t="shared" ref="F21" si="41">$F$39/12</f>
        <v>277.58333333333331</v>
      </c>
      <c r="G21" s="680">
        <f t="shared" ref="G21" si="42">$G$39/12</f>
        <v>332</v>
      </c>
      <c r="H21" s="678">
        <f t="shared" si="2"/>
        <v>24382.311811666666</v>
      </c>
      <c r="I21" s="225"/>
      <c r="J21" s="228"/>
    </row>
    <row r="22" spans="1:10" s="76" customFormat="1" ht="28.5" customHeight="1" x14ac:dyDescent="0.2">
      <c r="A22" s="224" t="s">
        <v>619</v>
      </c>
      <c r="B22" s="679">
        <f>B$38/12</f>
        <v>35258.614311666664</v>
      </c>
      <c r="C22" s="679">
        <f>C38/12</f>
        <v>14558</v>
      </c>
      <c r="D22" s="679">
        <f t="shared" ref="D22" si="43">$D$38/12</f>
        <v>18334.416666666668</v>
      </c>
      <c r="E22" s="679">
        <f t="shared" ref="E22" si="44">$E$38/12</f>
        <v>6138.833333333333</v>
      </c>
      <c r="F22" s="679">
        <f t="shared" ref="F22" si="45">$F$38/12</f>
        <v>2377.6666666666665</v>
      </c>
      <c r="G22" s="679">
        <f t="shared" ref="G22" si="46">$G$38/12</f>
        <v>2130.1666666666665</v>
      </c>
      <c r="H22" s="678">
        <f t="shared" si="2"/>
        <v>78797.697645000007</v>
      </c>
      <c r="I22" s="227"/>
      <c r="J22" s="229"/>
    </row>
    <row r="23" spans="1:10" s="77" customFormat="1" ht="28.5" customHeight="1" x14ac:dyDescent="0.2">
      <c r="A23" s="222" t="s">
        <v>612</v>
      </c>
      <c r="B23" s="680">
        <f>B$39/12</f>
        <v>16245.478478333333</v>
      </c>
      <c r="C23" s="680">
        <f>C39/12</f>
        <v>1146.1666666666667</v>
      </c>
      <c r="D23" s="680">
        <f t="shared" ref="D23" si="47">$D$39/12</f>
        <v>1836.6666666666667</v>
      </c>
      <c r="E23" s="680">
        <f t="shared" ref="E23" si="48">$E$39/12</f>
        <v>4544.416666666667</v>
      </c>
      <c r="F23" s="680">
        <f t="shared" ref="F23" si="49">$F$39/12</f>
        <v>277.58333333333331</v>
      </c>
      <c r="G23" s="680">
        <f t="shared" ref="G23" si="50">$G$39/12</f>
        <v>332</v>
      </c>
      <c r="H23" s="678">
        <f t="shared" si="2"/>
        <v>24382.311811666666</v>
      </c>
      <c r="I23" s="225"/>
      <c r="J23" s="228"/>
    </row>
    <row r="24" spans="1:10" s="76" customFormat="1" ht="28.5" customHeight="1" x14ac:dyDescent="0.2">
      <c r="A24" s="224" t="s">
        <v>620</v>
      </c>
      <c r="B24" s="679">
        <f>B$38/12</f>
        <v>35258.614311666664</v>
      </c>
      <c r="C24" s="679">
        <f>C38/12</f>
        <v>14558</v>
      </c>
      <c r="D24" s="679">
        <f t="shared" ref="D24" si="51">$D$38/12</f>
        <v>18334.416666666668</v>
      </c>
      <c r="E24" s="679">
        <f t="shared" ref="E24" si="52">$E$38/12</f>
        <v>6138.833333333333</v>
      </c>
      <c r="F24" s="679">
        <f t="shared" ref="F24" si="53">$F$38/12</f>
        <v>2377.6666666666665</v>
      </c>
      <c r="G24" s="679">
        <f t="shared" ref="G24" si="54">$G$38/12</f>
        <v>2130.1666666666665</v>
      </c>
      <c r="H24" s="678">
        <f t="shared" si="2"/>
        <v>78797.697645000007</v>
      </c>
      <c r="I24" s="227"/>
      <c r="J24" s="229"/>
    </row>
    <row r="25" spans="1:10" s="77" customFormat="1" ht="28.5" customHeight="1" x14ac:dyDescent="0.2">
      <c r="A25" s="222" t="s">
        <v>612</v>
      </c>
      <c r="B25" s="680">
        <f>B$39/12</f>
        <v>16245.478478333333</v>
      </c>
      <c r="C25" s="680">
        <f>C$39/12</f>
        <v>1146.1666666666667</v>
      </c>
      <c r="D25" s="680">
        <f t="shared" ref="D25" si="55">$D$39/12</f>
        <v>1836.6666666666667</v>
      </c>
      <c r="E25" s="680">
        <f t="shared" ref="E25" si="56">$E$39/12</f>
        <v>4544.416666666667</v>
      </c>
      <c r="F25" s="680">
        <f t="shared" ref="F25" si="57">$F$39/12</f>
        <v>277.58333333333331</v>
      </c>
      <c r="G25" s="680">
        <f t="shared" ref="G25" si="58">$G$39/12</f>
        <v>332</v>
      </c>
      <c r="H25" s="678">
        <f t="shared" si="2"/>
        <v>24382.311811666666</v>
      </c>
      <c r="I25" s="228"/>
      <c r="J25" s="228"/>
    </row>
    <row r="26" spans="1:10" s="76" customFormat="1" ht="28.5" customHeight="1" x14ac:dyDescent="0.2">
      <c r="A26" s="224" t="s">
        <v>621</v>
      </c>
      <c r="B26" s="679">
        <f>B$38/12</f>
        <v>35258.614311666664</v>
      </c>
      <c r="C26" s="679">
        <f t="shared" ref="C26" si="59">$C$38/12</f>
        <v>14558</v>
      </c>
      <c r="D26" s="679">
        <f t="shared" ref="D26" si="60">$D$38/12</f>
        <v>18334.416666666668</v>
      </c>
      <c r="E26" s="679">
        <f t="shared" ref="E26" si="61">$E$38/12</f>
        <v>6138.833333333333</v>
      </c>
      <c r="F26" s="679">
        <f t="shared" ref="F26" si="62">$F$38/12</f>
        <v>2377.6666666666665</v>
      </c>
      <c r="G26" s="679">
        <f t="shared" ref="G26" si="63">$G$38/12</f>
        <v>2130.1666666666665</v>
      </c>
      <c r="H26" s="678">
        <f t="shared" si="2"/>
        <v>78797.697645000007</v>
      </c>
      <c r="I26" s="229"/>
      <c r="J26" s="229"/>
    </row>
    <row r="27" spans="1:10" s="77" customFormat="1" ht="28.5" customHeight="1" x14ac:dyDescent="0.2">
      <c r="A27" s="222" t="s">
        <v>612</v>
      </c>
      <c r="B27" s="680">
        <f>B$39/12</f>
        <v>16245.478478333333</v>
      </c>
      <c r="C27" s="680">
        <f t="shared" ref="C27" si="64">$C$39/12</f>
        <v>1146.1666666666667</v>
      </c>
      <c r="D27" s="680">
        <f t="shared" ref="D27" si="65">$D$39/12</f>
        <v>1836.6666666666667</v>
      </c>
      <c r="E27" s="680">
        <f t="shared" ref="E27" si="66">$E$39/12</f>
        <v>4544.416666666667</v>
      </c>
      <c r="F27" s="680">
        <f t="shared" ref="F27" si="67">$F$39/12</f>
        <v>277.58333333333331</v>
      </c>
      <c r="G27" s="680">
        <f t="shared" ref="G27" si="68">$G$39/12</f>
        <v>332</v>
      </c>
      <c r="H27" s="678">
        <f t="shared" si="2"/>
        <v>24382.311811666666</v>
      </c>
      <c r="I27" s="228"/>
      <c r="J27" s="228"/>
    </row>
    <row r="28" spans="1:10" s="76" customFormat="1" ht="28.5" customHeight="1" x14ac:dyDescent="0.2">
      <c r="A28" s="224" t="s">
        <v>622</v>
      </c>
      <c r="B28" s="679">
        <f>B$38/12</f>
        <v>35258.614311666664</v>
      </c>
      <c r="C28" s="679">
        <f t="shared" ref="C28" si="69">$C$38/12</f>
        <v>14558</v>
      </c>
      <c r="D28" s="679">
        <f t="shared" ref="D28" si="70">$D$38/12</f>
        <v>18334.416666666668</v>
      </c>
      <c r="E28" s="679">
        <f t="shared" ref="E28" si="71">$E$38/12</f>
        <v>6138.833333333333</v>
      </c>
      <c r="F28" s="679">
        <f t="shared" ref="F28" si="72">$F$38/12</f>
        <v>2377.6666666666665</v>
      </c>
      <c r="G28" s="679">
        <f t="shared" ref="G28" si="73">$G$38/12</f>
        <v>2130.1666666666665</v>
      </c>
      <c r="H28" s="678">
        <f t="shared" si="2"/>
        <v>78797.697645000007</v>
      </c>
      <c r="I28" s="233"/>
      <c r="J28" s="229"/>
    </row>
    <row r="29" spans="1:10" s="79" customFormat="1" ht="28.5" customHeight="1" x14ac:dyDescent="0.2">
      <c r="A29" s="222" t="s">
        <v>612</v>
      </c>
      <c r="B29" s="680">
        <f>B$39/12</f>
        <v>16245.478478333333</v>
      </c>
      <c r="C29" s="680">
        <f t="shared" ref="C29" si="74">$C$39/12</f>
        <v>1146.1666666666667</v>
      </c>
      <c r="D29" s="680">
        <f t="shared" ref="D29" si="75">$D$39/12</f>
        <v>1836.6666666666667</v>
      </c>
      <c r="E29" s="680">
        <f t="shared" ref="E29" si="76">$E$39/12</f>
        <v>4544.416666666667</v>
      </c>
      <c r="F29" s="680">
        <f t="shared" ref="F29" si="77">$F$39/12</f>
        <v>277.58333333333331</v>
      </c>
      <c r="G29" s="680">
        <f t="shared" ref="G29" si="78">$G$39/12</f>
        <v>332</v>
      </c>
      <c r="H29" s="678">
        <f t="shared" si="2"/>
        <v>24382.311811666666</v>
      </c>
      <c r="I29" s="234"/>
      <c r="J29" s="235"/>
    </row>
    <row r="30" spans="1:10" s="80" customFormat="1" ht="28.5" customHeight="1" x14ac:dyDescent="0.2">
      <c r="A30" s="224" t="s">
        <v>623</v>
      </c>
      <c r="B30" s="679">
        <f>B$38/12</f>
        <v>35258.614311666664</v>
      </c>
      <c r="C30" s="679">
        <f t="shared" ref="C30" si="79">$C$38/12</f>
        <v>14558</v>
      </c>
      <c r="D30" s="679">
        <f t="shared" ref="D30" si="80">$D$38/12</f>
        <v>18334.416666666668</v>
      </c>
      <c r="E30" s="679">
        <f t="shared" ref="E30" si="81">$E$38/12</f>
        <v>6138.833333333333</v>
      </c>
      <c r="F30" s="679">
        <f t="shared" ref="F30" si="82">$F$38/12</f>
        <v>2377.6666666666665</v>
      </c>
      <c r="G30" s="679">
        <f t="shared" ref="G30" si="83">$G$38/12</f>
        <v>2130.1666666666665</v>
      </c>
      <c r="H30" s="678">
        <f t="shared" si="2"/>
        <v>78797.697645000007</v>
      </c>
      <c r="I30" s="236"/>
      <c r="J30" s="237"/>
    </row>
    <row r="31" spans="1:10" s="79" customFormat="1" ht="28.5" customHeight="1" x14ac:dyDescent="0.2">
      <c r="A31" s="222" t="s">
        <v>612</v>
      </c>
      <c r="B31" s="680">
        <f>B$39/12</f>
        <v>16245.478478333333</v>
      </c>
      <c r="C31" s="680">
        <f t="shared" ref="C31" si="84">$C$39/12</f>
        <v>1146.1666666666667</v>
      </c>
      <c r="D31" s="680">
        <f t="shared" ref="D31" si="85">$D$39/12</f>
        <v>1836.6666666666667</v>
      </c>
      <c r="E31" s="680">
        <f t="shared" ref="E31" si="86">$E$39/12</f>
        <v>4544.416666666667</v>
      </c>
      <c r="F31" s="680">
        <f t="shared" ref="F31" si="87">$F$39/12</f>
        <v>277.58333333333331</v>
      </c>
      <c r="G31" s="680">
        <f t="shared" ref="G31" si="88">$G$39/12</f>
        <v>332</v>
      </c>
      <c r="H31" s="678">
        <f t="shared" si="2"/>
        <v>24382.311811666666</v>
      </c>
      <c r="I31" s="234"/>
      <c r="J31" s="235"/>
    </row>
    <row r="32" spans="1:10" s="80" customFormat="1" ht="28.5" customHeight="1" x14ac:dyDescent="0.2">
      <c r="A32" s="224" t="s">
        <v>624</v>
      </c>
      <c r="B32" s="679">
        <f>B$38/12</f>
        <v>35258.614311666664</v>
      </c>
      <c r="C32" s="679">
        <f t="shared" ref="C32" si="89">$C$38/12</f>
        <v>14558</v>
      </c>
      <c r="D32" s="679">
        <f t="shared" ref="D32" si="90">$D$38/12</f>
        <v>18334.416666666668</v>
      </c>
      <c r="E32" s="679">
        <f t="shared" ref="E32" si="91">$E$38/12</f>
        <v>6138.833333333333</v>
      </c>
      <c r="F32" s="679">
        <f t="shared" ref="F32" si="92">$F$38/12</f>
        <v>2377.6666666666665</v>
      </c>
      <c r="G32" s="679">
        <f t="shared" ref="G32" si="93">$G$38/12</f>
        <v>2130.1666666666665</v>
      </c>
      <c r="H32" s="678">
        <f t="shared" si="2"/>
        <v>78797.697645000007</v>
      </c>
      <c r="I32" s="236"/>
      <c r="J32" s="237"/>
    </row>
    <row r="33" spans="1:13" s="79" customFormat="1" ht="28.5" customHeight="1" thickBot="1" x14ac:dyDescent="0.25">
      <c r="A33" s="238" t="s">
        <v>612</v>
      </c>
      <c r="B33" s="680">
        <f>B$39/12</f>
        <v>16245.478478333333</v>
      </c>
      <c r="C33" s="680">
        <f t="shared" ref="C33" si="94">$C$39/12</f>
        <v>1146.1666666666667</v>
      </c>
      <c r="D33" s="680">
        <f t="shared" ref="D33" si="95">$D$39/12</f>
        <v>1836.6666666666667</v>
      </c>
      <c r="E33" s="680">
        <f t="shared" ref="E33" si="96">$E$39/12</f>
        <v>4544.416666666667</v>
      </c>
      <c r="F33" s="680">
        <f t="shared" ref="F33" si="97">$F$39/12</f>
        <v>277.58333333333331</v>
      </c>
      <c r="G33" s="680">
        <f t="shared" ref="G33" si="98">$G$39/12</f>
        <v>332</v>
      </c>
      <c r="H33" s="678">
        <f t="shared" si="2"/>
        <v>24382.311811666666</v>
      </c>
      <c r="I33" s="234"/>
      <c r="J33" s="235"/>
    </row>
    <row r="34" spans="1:13" s="80" customFormat="1" ht="28.5" customHeight="1" thickBot="1" x14ac:dyDescent="0.25">
      <c r="A34" s="239" t="s">
        <v>151</v>
      </c>
      <c r="B34" s="681">
        <f t="shared" ref="B34" si="99">B10+B12+B14+B16+B18+B20+B22+B24+B26+B28+B30+B32</f>
        <v>423103.37174000009</v>
      </c>
      <c r="C34" s="681">
        <f t="shared" ref="C34:F35" si="100">C10+C12+C14+C16+C18+C20+C22+C24+C26+C28+C30+C32</f>
        <v>174696</v>
      </c>
      <c r="D34" s="681">
        <f t="shared" si="100"/>
        <v>220012.99999999997</v>
      </c>
      <c r="E34" s="681">
        <f t="shared" si="100"/>
        <v>73666</v>
      </c>
      <c r="F34" s="681">
        <f t="shared" si="100"/>
        <v>28532.000000000004</v>
      </c>
      <c r="G34" s="681">
        <f>G10+G12+G14+G16+G18+G20+G22+G24+G26+G28+G30+G32</f>
        <v>25562.000000000004</v>
      </c>
      <c r="H34" s="681">
        <f t="shared" si="2"/>
        <v>945572.37174000009</v>
      </c>
      <c r="I34" s="236"/>
      <c r="J34" s="237"/>
    </row>
    <row r="35" spans="1:13" ht="28.5" customHeight="1" thickBot="1" x14ac:dyDescent="0.25">
      <c r="A35" s="241" t="s">
        <v>612</v>
      </c>
      <c r="B35" s="682">
        <f t="shared" ref="B35" si="101">B11+B13+B15+B17+B19+B21+B23+B25+B27+B29+B31+B33</f>
        <v>194945.74174</v>
      </c>
      <c r="C35" s="682">
        <f t="shared" si="100"/>
        <v>13753.999999999998</v>
      </c>
      <c r="D35" s="682">
        <f t="shared" si="100"/>
        <v>22040.000000000004</v>
      </c>
      <c r="E35" s="682">
        <f t="shared" si="100"/>
        <v>54532.999999999993</v>
      </c>
      <c r="F35" s="682">
        <f t="shared" si="100"/>
        <v>3331.0000000000005</v>
      </c>
      <c r="G35" s="682">
        <f>G11+G13+G15+G17+G19+G21+G23+G25+G27+G29+G31+G33</f>
        <v>3984</v>
      </c>
      <c r="H35" s="682">
        <f t="shared" si="2"/>
        <v>292587.74173999997</v>
      </c>
      <c r="I35" s="240"/>
      <c r="J35" s="216"/>
      <c r="L35" s="82"/>
      <c r="M35" s="82"/>
    </row>
    <row r="36" spans="1:13" s="80" customFormat="1" ht="28.5" customHeight="1" x14ac:dyDescent="0.2">
      <c r="A36" s="84"/>
      <c r="B36" s="85"/>
      <c r="C36" s="81"/>
      <c r="D36" s="81"/>
      <c r="E36" s="74"/>
      <c r="F36" s="74"/>
      <c r="G36" s="74"/>
      <c r="H36" s="74"/>
      <c r="I36" s="237"/>
      <c r="J36" s="237"/>
      <c r="L36" s="83"/>
      <c r="M36" s="82"/>
    </row>
    <row r="37" spans="1:13" ht="15.75" hidden="1" customHeight="1" x14ac:dyDescent="0.2">
      <c r="A37" s="81"/>
      <c r="B37" s="85"/>
      <c r="C37" s="81"/>
      <c r="D37" s="81"/>
    </row>
    <row r="38" spans="1:13" ht="15.75" hidden="1" customHeight="1" x14ac:dyDescent="0.2">
      <c r="A38" s="81" t="s">
        <v>764</v>
      </c>
      <c r="B38" s="859">
        <f>'2.Bevételek_részletes'!F44</f>
        <v>423103.37173999997</v>
      </c>
      <c r="C38" s="572">
        <f>'3. Gesz költségvetés'!D33</f>
        <v>174696</v>
      </c>
      <c r="D38" s="572">
        <f>'3. Gesz költségvetés'!F33</f>
        <v>220013</v>
      </c>
      <c r="E38" s="82">
        <f>'3. Gesz költségvetés'!H33</f>
        <v>73666</v>
      </c>
      <c r="F38" s="82">
        <f>'3. Gesz költségvetés'!J33</f>
        <v>28532</v>
      </c>
      <c r="G38" s="82">
        <f>'3. Gesz költségvetés'!L33</f>
        <v>25562</v>
      </c>
      <c r="H38" s="79">
        <f>SUM(B38:G38)</f>
        <v>945572.37173999997</v>
      </c>
      <c r="J38" s="74" t="s">
        <v>911</v>
      </c>
    </row>
    <row r="39" spans="1:13" ht="14.25" hidden="1" x14ac:dyDescent="0.2">
      <c r="A39" s="81" t="s">
        <v>765</v>
      </c>
      <c r="B39" s="859">
        <f>'2.Kiadások_részletes '!F13</f>
        <v>194945.74174</v>
      </c>
      <c r="C39" s="572">
        <f>'3. Gesz költségvetés'!D41</f>
        <v>13754</v>
      </c>
      <c r="D39" s="572">
        <f>'3. Gesz költségvetés'!F41</f>
        <v>22040</v>
      </c>
      <c r="E39" s="82">
        <f>'3. Gesz költségvetés'!H41</f>
        <v>54533</v>
      </c>
      <c r="F39" s="82">
        <f>'3. Gesz költségvetés'!J41</f>
        <v>3331</v>
      </c>
      <c r="G39" s="82">
        <f>'3. Gesz költségvetés'!L41</f>
        <v>3984</v>
      </c>
      <c r="H39" s="79">
        <f>SUM(B39:G39)</f>
        <v>292587.74173999997</v>
      </c>
    </row>
    <row r="40" spans="1:13" ht="14.25" hidden="1" x14ac:dyDescent="0.2">
      <c r="A40" s="81"/>
      <c r="B40" s="85"/>
      <c r="C40" s="81"/>
      <c r="D40" s="81"/>
    </row>
    <row r="41" spans="1:13" ht="14.25" hidden="1" x14ac:dyDescent="0.2">
      <c r="A41" s="81"/>
      <c r="B41" s="85"/>
      <c r="C41" s="81"/>
      <c r="D41" s="81"/>
    </row>
    <row r="42" spans="1:13" ht="14.25" hidden="1" x14ac:dyDescent="0.2">
      <c r="A42" s="81"/>
      <c r="B42" s="85"/>
      <c r="C42" s="81"/>
      <c r="D42" s="81"/>
    </row>
    <row r="43" spans="1:13" hidden="1" x14ac:dyDescent="0.2">
      <c r="A43" s="81"/>
      <c r="B43" s="572">
        <f>B34-B38</f>
        <v>0</v>
      </c>
      <c r="C43" s="572">
        <f>C34-C38</f>
        <v>0</v>
      </c>
      <c r="D43" s="572">
        <f t="shared" ref="D43:H44" si="102">D34-D38</f>
        <v>0</v>
      </c>
      <c r="E43" s="572">
        <f t="shared" si="102"/>
        <v>0</v>
      </c>
      <c r="F43" s="572">
        <f t="shared" si="102"/>
        <v>0</v>
      </c>
      <c r="G43" s="572">
        <f t="shared" si="102"/>
        <v>0</v>
      </c>
      <c r="H43" s="572">
        <f t="shared" si="102"/>
        <v>0</v>
      </c>
    </row>
    <row r="44" spans="1:13" hidden="1" x14ac:dyDescent="0.2">
      <c r="A44" s="81"/>
      <c r="B44" s="572">
        <f>B35-B39</f>
        <v>0</v>
      </c>
      <c r="C44" s="572">
        <f>C35-C39</f>
        <v>0</v>
      </c>
      <c r="D44" s="572">
        <f t="shared" si="102"/>
        <v>0</v>
      </c>
      <c r="E44" s="572">
        <f t="shared" si="102"/>
        <v>0</v>
      </c>
      <c r="F44" s="572">
        <f t="shared" si="102"/>
        <v>0</v>
      </c>
      <c r="G44" s="572">
        <f t="shared" si="102"/>
        <v>0</v>
      </c>
      <c r="H44" s="572">
        <f t="shared" si="102"/>
        <v>0</v>
      </c>
    </row>
    <row r="45" spans="1:13" ht="14.25" hidden="1" x14ac:dyDescent="0.2">
      <c r="A45" s="81"/>
      <c r="B45" s="85"/>
      <c r="C45" s="81"/>
      <c r="D45" s="81"/>
    </row>
    <row r="46" spans="1:13" ht="14.25" x14ac:dyDescent="0.2">
      <c r="A46" s="81"/>
      <c r="B46" s="85"/>
      <c r="C46" s="81"/>
      <c r="D46" s="81"/>
    </row>
    <row r="47" spans="1:13" ht="14.25" x14ac:dyDescent="0.2">
      <c r="A47" s="81"/>
      <c r="B47" s="85"/>
      <c r="C47" s="81"/>
      <c r="D47" s="81"/>
    </row>
    <row r="48" spans="1:13" ht="14.25" x14ac:dyDescent="0.2">
      <c r="A48" s="81"/>
      <c r="B48" s="85"/>
      <c r="C48" s="81"/>
      <c r="D48" s="81"/>
    </row>
    <row r="49" spans="1:4" ht="14.25" x14ac:dyDescent="0.2">
      <c r="A49" s="81"/>
      <c r="B49" s="85"/>
      <c r="C49" s="81"/>
      <c r="D49" s="81"/>
    </row>
    <row r="50" spans="1:4" ht="14.25" x14ac:dyDescent="0.2">
      <c r="A50" s="81"/>
      <c r="B50" s="85"/>
      <c r="C50" s="81"/>
      <c r="D50" s="81"/>
    </row>
    <row r="51" spans="1:4" ht="14.25" x14ac:dyDescent="0.2">
      <c r="A51" s="81"/>
      <c r="B51" s="85"/>
      <c r="C51" s="81"/>
      <c r="D51" s="81"/>
    </row>
    <row r="52" spans="1:4" ht="14.25" x14ac:dyDescent="0.2">
      <c r="A52" s="81"/>
      <c r="B52" s="85"/>
      <c r="C52" s="81"/>
      <c r="D52" s="81"/>
    </row>
    <row r="53" spans="1:4" ht="14.25" x14ac:dyDescent="0.2">
      <c r="A53" s="81"/>
      <c r="B53" s="85"/>
      <c r="C53" s="81"/>
      <c r="D53" s="81"/>
    </row>
    <row r="54" spans="1:4" ht="14.25" x14ac:dyDescent="0.2">
      <c r="A54" s="81"/>
      <c r="B54" s="85"/>
      <c r="C54" s="81"/>
      <c r="D54" s="81"/>
    </row>
    <row r="55" spans="1:4" ht="14.25" x14ac:dyDescent="0.2">
      <c r="A55" s="81"/>
      <c r="B55" s="85"/>
      <c r="C55" s="81"/>
      <c r="D55" s="81"/>
    </row>
    <row r="56" spans="1:4" ht="14.25" x14ac:dyDescent="0.2">
      <c r="A56" s="81"/>
      <c r="B56" s="85"/>
      <c r="C56" s="81"/>
      <c r="D56" s="81"/>
    </row>
    <row r="57" spans="1:4" ht="14.25" x14ac:dyDescent="0.2">
      <c r="A57" s="81"/>
      <c r="B57" s="85"/>
      <c r="C57" s="81"/>
      <c r="D57" s="81"/>
    </row>
    <row r="58" spans="1:4" ht="14.25" x14ac:dyDescent="0.2">
      <c r="A58" s="81"/>
      <c r="B58" s="85"/>
      <c r="C58" s="81"/>
      <c r="D58" s="81"/>
    </row>
    <row r="59" spans="1:4" ht="14.25" x14ac:dyDescent="0.2">
      <c r="A59" s="81"/>
      <c r="B59" s="85"/>
      <c r="C59" s="81"/>
      <c r="D59" s="81"/>
    </row>
    <row r="60" spans="1:4" ht="14.25" x14ac:dyDescent="0.2">
      <c r="A60" s="81"/>
      <c r="B60" s="85"/>
      <c r="C60" s="81"/>
      <c r="D60" s="81"/>
    </row>
    <row r="61" spans="1:4" ht="14.25" x14ac:dyDescent="0.2">
      <c r="A61" s="81"/>
      <c r="B61" s="85"/>
      <c r="C61" s="81"/>
      <c r="D61" s="81"/>
    </row>
    <row r="62" spans="1:4" ht="14.25" x14ac:dyDescent="0.2">
      <c r="A62" s="81"/>
      <c r="B62" s="85"/>
      <c r="C62" s="81"/>
      <c r="D62" s="81"/>
    </row>
    <row r="63" spans="1:4" ht="14.25" x14ac:dyDescent="0.2">
      <c r="A63" s="81"/>
      <c r="B63" s="85"/>
      <c r="C63" s="81"/>
      <c r="D63" s="81"/>
    </row>
    <row r="64" spans="1:4" ht="14.25" x14ac:dyDescent="0.2">
      <c r="A64" s="81"/>
      <c r="B64" s="85"/>
      <c r="C64" s="81"/>
      <c r="D64" s="81"/>
    </row>
    <row r="65" spans="1:4" ht="14.25" x14ac:dyDescent="0.2">
      <c r="A65" s="81"/>
      <c r="B65" s="85"/>
      <c r="C65" s="81"/>
      <c r="D65" s="81"/>
    </row>
    <row r="66" spans="1:4" x14ac:dyDescent="0.2">
      <c r="A66" s="81"/>
      <c r="B66" s="81"/>
      <c r="C66" s="81"/>
      <c r="D66" s="81"/>
    </row>
    <row r="67" spans="1:4" x14ac:dyDescent="0.2">
      <c r="A67" s="81"/>
      <c r="B67" s="81"/>
      <c r="C67" s="81"/>
      <c r="D67" s="81"/>
    </row>
    <row r="68" spans="1:4" x14ac:dyDescent="0.2">
      <c r="A68" s="81"/>
      <c r="B68" s="81"/>
      <c r="C68" s="81"/>
      <c r="D68" s="81"/>
    </row>
    <row r="69" spans="1:4" x14ac:dyDescent="0.2">
      <c r="A69" s="81">
        <v>48</v>
      </c>
      <c r="B69" s="81"/>
      <c r="C69" s="81"/>
      <c r="D69" s="81"/>
    </row>
    <row r="70" spans="1:4" x14ac:dyDescent="0.2">
      <c r="A70" s="81">
        <v>49</v>
      </c>
      <c r="B70" s="81"/>
      <c r="C70" s="81"/>
      <c r="D70" s="81"/>
    </row>
    <row r="71" spans="1:4" x14ac:dyDescent="0.2">
      <c r="A71" s="81">
        <v>50</v>
      </c>
      <c r="B71" s="81"/>
      <c r="C71" s="81"/>
      <c r="D71" s="81"/>
    </row>
    <row r="72" spans="1:4" x14ac:dyDescent="0.2">
      <c r="A72" s="81">
        <v>51</v>
      </c>
      <c r="B72" s="81"/>
      <c r="C72" s="81"/>
      <c r="D72" s="81"/>
    </row>
    <row r="73" spans="1:4" x14ac:dyDescent="0.2">
      <c r="A73" s="81">
        <v>52</v>
      </c>
      <c r="B73" s="81"/>
      <c r="C73" s="81"/>
      <c r="D73" s="81"/>
    </row>
    <row r="74" spans="1:4" x14ac:dyDescent="0.2">
      <c r="A74" s="81">
        <v>53</v>
      </c>
      <c r="B74" s="81"/>
      <c r="C74" s="81"/>
      <c r="D74" s="81"/>
    </row>
    <row r="75" spans="1:4" x14ac:dyDescent="0.2">
      <c r="A75" s="81">
        <v>54</v>
      </c>
      <c r="B75" s="81"/>
      <c r="C75" s="81"/>
      <c r="D75" s="81"/>
    </row>
    <row r="76" spans="1:4" x14ac:dyDescent="0.2">
      <c r="A76" s="81">
        <v>55</v>
      </c>
      <c r="B76" s="81"/>
      <c r="C76" s="81"/>
      <c r="D76" s="81"/>
    </row>
    <row r="77" spans="1:4" x14ac:dyDescent="0.2">
      <c r="A77" s="81">
        <v>56</v>
      </c>
      <c r="B77" s="81"/>
      <c r="C77" s="81"/>
      <c r="D77" s="81"/>
    </row>
    <row r="78" spans="1:4" x14ac:dyDescent="0.2">
      <c r="A78" s="81">
        <v>57</v>
      </c>
      <c r="B78" s="81"/>
      <c r="C78" s="81"/>
      <c r="D78" s="81"/>
    </row>
    <row r="79" spans="1:4" x14ac:dyDescent="0.2">
      <c r="A79" s="81">
        <v>58</v>
      </c>
      <c r="B79" s="81"/>
      <c r="C79" s="81"/>
      <c r="D79" s="81"/>
    </row>
    <row r="80" spans="1:4" x14ac:dyDescent="0.2">
      <c r="A80" s="81">
        <v>59</v>
      </c>
      <c r="B80" s="81"/>
      <c r="C80" s="81"/>
      <c r="D80" s="81"/>
    </row>
    <row r="81" spans="1:4" x14ac:dyDescent="0.2">
      <c r="A81" s="81">
        <v>60</v>
      </c>
      <c r="B81" s="81"/>
      <c r="C81" s="81"/>
      <c r="D81" s="81"/>
    </row>
    <row r="82" spans="1:4" x14ac:dyDescent="0.2">
      <c r="A82" s="81">
        <v>61</v>
      </c>
      <c r="B82" s="81"/>
      <c r="C82" s="81"/>
      <c r="D82" s="81"/>
    </row>
    <row r="83" spans="1:4" x14ac:dyDescent="0.2">
      <c r="A83" s="81"/>
      <c r="B83" s="81"/>
      <c r="C83" s="81"/>
      <c r="D83" s="81"/>
    </row>
    <row r="84" spans="1:4" x14ac:dyDescent="0.2">
      <c r="A84" s="81"/>
      <c r="B84" s="81"/>
      <c r="C84" s="81"/>
      <c r="D84" s="81"/>
    </row>
    <row r="85" spans="1:4" x14ac:dyDescent="0.2">
      <c r="A85" s="81">
        <v>62</v>
      </c>
      <c r="B85" s="81"/>
      <c r="C85" s="81"/>
      <c r="D85" s="81"/>
    </row>
    <row r="86" spans="1:4" x14ac:dyDescent="0.2">
      <c r="A86" s="81">
        <v>63</v>
      </c>
      <c r="B86" s="81"/>
      <c r="C86" s="81"/>
      <c r="D86" s="81"/>
    </row>
    <row r="87" spans="1:4" x14ac:dyDescent="0.2">
      <c r="A87" s="81">
        <v>64</v>
      </c>
      <c r="B87" s="81"/>
      <c r="C87" s="81"/>
      <c r="D87" s="81"/>
    </row>
    <row r="88" spans="1:4" x14ac:dyDescent="0.2">
      <c r="A88" s="81">
        <v>65</v>
      </c>
      <c r="B88" s="81"/>
      <c r="C88" s="81"/>
      <c r="D88" s="81"/>
    </row>
    <row r="89" spans="1:4" x14ac:dyDescent="0.2">
      <c r="A89" s="81">
        <v>66</v>
      </c>
      <c r="B89" s="81"/>
      <c r="C89" s="81"/>
      <c r="D89" s="81"/>
    </row>
    <row r="90" spans="1:4" x14ac:dyDescent="0.2">
      <c r="A90" s="81">
        <v>67</v>
      </c>
      <c r="B90" s="81"/>
      <c r="C90" s="81"/>
      <c r="D90" s="81"/>
    </row>
    <row r="91" spans="1:4" x14ac:dyDescent="0.2">
      <c r="A91" s="81">
        <v>68</v>
      </c>
      <c r="B91" s="81"/>
      <c r="C91" s="81"/>
      <c r="D91" s="81"/>
    </row>
    <row r="92" spans="1:4" x14ac:dyDescent="0.2">
      <c r="A92" s="81">
        <v>69</v>
      </c>
      <c r="B92" s="81"/>
      <c r="C92" s="81"/>
      <c r="D92" s="81"/>
    </row>
    <row r="93" spans="1:4" x14ac:dyDescent="0.2">
      <c r="A93" s="81">
        <v>70</v>
      </c>
      <c r="B93" s="81"/>
      <c r="C93" s="81"/>
      <c r="D93" s="81"/>
    </row>
    <row r="94" spans="1:4" x14ac:dyDescent="0.2">
      <c r="A94" s="81">
        <v>71</v>
      </c>
      <c r="B94" s="81"/>
      <c r="C94" s="81"/>
      <c r="D94" s="81"/>
    </row>
    <row r="95" spans="1:4" x14ac:dyDescent="0.2">
      <c r="A95" s="81">
        <v>72</v>
      </c>
      <c r="B95" s="81"/>
      <c r="C95" s="81"/>
      <c r="D95" s="81"/>
    </row>
    <row r="96" spans="1:4" x14ac:dyDescent="0.2">
      <c r="A96" s="81">
        <v>73</v>
      </c>
      <c r="B96" s="81"/>
      <c r="C96" s="81"/>
      <c r="D96" s="81"/>
    </row>
    <row r="97" spans="1:4" x14ac:dyDescent="0.2">
      <c r="A97" s="81">
        <v>74</v>
      </c>
      <c r="B97" s="81"/>
      <c r="C97" s="81"/>
      <c r="D97" s="81"/>
    </row>
    <row r="98" spans="1:4" x14ac:dyDescent="0.2">
      <c r="A98" s="81">
        <v>75</v>
      </c>
      <c r="B98" s="81"/>
      <c r="C98" s="81"/>
      <c r="D98" s="81"/>
    </row>
    <row r="99" spans="1:4" x14ac:dyDescent="0.2">
      <c r="A99" s="81"/>
      <c r="B99" s="81"/>
      <c r="C99" s="81"/>
      <c r="D99" s="81"/>
    </row>
    <row r="100" spans="1:4" x14ac:dyDescent="0.2">
      <c r="A100" s="81"/>
      <c r="B100" s="81"/>
      <c r="C100" s="81"/>
      <c r="D100" s="81"/>
    </row>
    <row r="101" spans="1:4" x14ac:dyDescent="0.2">
      <c r="A101" s="81">
        <v>76</v>
      </c>
      <c r="B101" s="81"/>
      <c r="C101" s="81"/>
      <c r="D101" s="81"/>
    </row>
    <row r="102" spans="1:4" x14ac:dyDescent="0.2">
      <c r="A102" s="81">
        <v>77</v>
      </c>
      <c r="B102" s="81"/>
      <c r="C102" s="81"/>
      <c r="D102" s="81"/>
    </row>
    <row r="103" spans="1:4" x14ac:dyDescent="0.2">
      <c r="A103" s="81">
        <v>78</v>
      </c>
      <c r="B103" s="81"/>
      <c r="C103" s="81"/>
      <c r="D103" s="81"/>
    </row>
    <row r="104" spans="1:4" x14ac:dyDescent="0.2">
      <c r="A104" s="81">
        <v>79</v>
      </c>
      <c r="B104" s="81"/>
      <c r="C104" s="81"/>
      <c r="D104" s="81"/>
    </row>
    <row r="105" spans="1:4" x14ac:dyDescent="0.2">
      <c r="A105" s="81">
        <v>80</v>
      </c>
      <c r="B105" s="81"/>
      <c r="C105" s="81"/>
      <c r="D105" s="81"/>
    </row>
    <row r="106" spans="1:4" x14ac:dyDescent="0.2">
      <c r="A106" s="81">
        <v>81</v>
      </c>
      <c r="B106" s="81"/>
      <c r="C106" s="81"/>
      <c r="D106" s="81"/>
    </row>
    <row r="107" spans="1:4" x14ac:dyDescent="0.2">
      <c r="A107" s="81">
        <v>82</v>
      </c>
      <c r="B107" s="81"/>
      <c r="C107" s="81"/>
      <c r="D107" s="81"/>
    </row>
    <row r="108" spans="1:4" x14ac:dyDescent="0.2">
      <c r="A108" s="81">
        <v>83</v>
      </c>
      <c r="B108" s="81"/>
      <c r="C108" s="81"/>
      <c r="D108" s="81"/>
    </row>
    <row r="109" spans="1:4" x14ac:dyDescent="0.2">
      <c r="A109" s="81">
        <v>84</v>
      </c>
      <c r="B109" s="81"/>
      <c r="C109" s="81"/>
      <c r="D109" s="81"/>
    </row>
    <row r="110" spans="1:4" x14ac:dyDescent="0.2">
      <c r="A110" s="81">
        <v>85</v>
      </c>
      <c r="B110" s="81"/>
      <c r="C110" s="81"/>
      <c r="D110" s="81"/>
    </row>
    <row r="111" spans="1:4" x14ac:dyDescent="0.2">
      <c r="A111" s="81">
        <v>86</v>
      </c>
      <c r="B111" s="81"/>
      <c r="C111" s="81"/>
      <c r="D111" s="81"/>
    </row>
    <row r="112" spans="1:4" x14ac:dyDescent="0.2">
      <c r="A112" s="81">
        <v>87</v>
      </c>
      <c r="B112" s="81"/>
      <c r="C112" s="81"/>
      <c r="D112" s="81"/>
    </row>
    <row r="113" spans="1:4" x14ac:dyDescent="0.2">
      <c r="A113" s="81">
        <v>88</v>
      </c>
      <c r="B113" s="81"/>
      <c r="C113" s="81"/>
      <c r="D113" s="81"/>
    </row>
    <row r="114" spans="1:4" x14ac:dyDescent="0.2">
      <c r="A114" s="81">
        <v>89</v>
      </c>
      <c r="B114" s="81"/>
      <c r="C114" s="81"/>
      <c r="D114" s="81"/>
    </row>
    <row r="115" spans="1:4" x14ac:dyDescent="0.2">
      <c r="A115" s="81">
        <v>90</v>
      </c>
      <c r="B115" s="81"/>
      <c r="C115" s="81"/>
      <c r="D115" s="81"/>
    </row>
    <row r="116" spans="1:4" x14ac:dyDescent="0.2">
      <c r="A116" s="81">
        <v>91</v>
      </c>
      <c r="B116" s="81"/>
      <c r="C116" s="81"/>
      <c r="D116" s="81"/>
    </row>
    <row r="117" spans="1:4" x14ac:dyDescent="0.2">
      <c r="A117" s="81">
        <v>92</v>
      </c>
      <c r="B117" s="81"/>
      <c r="C117" s="81"/>
      <c r="D117" s="81"/>
    </row>
    <row r="118" spans="1:4" x14ac:dyDescent="0.2">
      <c r="A118" s="81">
        <v>93</v>
      </c>
      <c r="B118" s="81"/>
      <c r="C118" s="81"/>
      <c r="D118" s="81"/>
    </row>
    <row r="119" spans="1:4" x14ac:dyDescent="0.2">
      <c r="A119" s="81">
        <v>94</v>
      </c>
      <c r="B119" s="81"/>
      <c r="C119" s="81"/>
      <c r="D119" s="81"/>
    </row>
    <row r="120" spans="1:4" x14ac:dyDescent="0.2">
      <c r="A120" s="81">
        <v>95</v>
      </c>
      <c r="B120" s="81"/>
      <c r="C120" s="81"/>
      <c r="D120" s="81"/>
    </row>
    <row r="121" spans="1:4" x14ac:dyDescent="0.2">
      <c r="A121" s="81">
        <v>96</v>
      </c>
      <c r="B121" s="81"/>
      <c r="C121" s="81"/>
      <c r="D121" s="81"/>
    </row>
    <row r="122" spans="1:4" x14ac:dyDescent="0.2">
      <c r="A122" s="81">
        <v>97</v>
      </c>
      <c r="B122" s="81"/>
      <c r="C122" s="81"/>
      <c r="D122" s="81"/>
    </row>
    <row r="123" spans="1:4" x14ac:dyDescent="0.2">
      <c r="A123" s="81">
        <v>98</v>
      </c>
      <c r="B123" s="81"/>
      <c r="C123" s="81"/>
      <c r="D123" s="81"/>
    </row>
    <row r="124" spans="1:4" x14ac:dyDescent="0.2">
      <c r="A124" s="81">
        <v>99</v>
      </c>
      <c r="B124" s="81"/>
      <c r="C124" s="81"/>
      <c r="D124" s="81"/>
    </row>
    <row r="125" spans="1:4" x14ac:dyDescent="0.2">
      <c r="A125" s="81">
        <v>100</v>
      </c>
      <c r="B125" s="81"/>
      <c r="C125" s="81"/>
      <c r="D125" s="81"/>
    </row>
    <row r="126" spans="1:4" x14ac:dyDescent="0.2">
      <c r="A126" s="81">
        <v>101</v>
      </c>
      <c r="B126" s="81"/>
      <c r="C126" s="81"/>
      <c r="D126" s="81"/>
    </row>
    <row r="127" spans="1:4" x14ac:dyDescent="0.2">
      <c r="A127" s="81">
        <v>102</v>
      </c>
      <c r="B127" s="81"/>
      <c r="C127" s="81"/>
      <c r="D127" s="81"/>
    </row>
    <row r="128" spans="1:4" x14ac:dyDescent="0.2">
      <c r="A128" s="81">
        <v>103</v>
      </c>
      <c r="B128" s="81"/>
      <c r="C128" s="81"/>
      <c r="D128" s="81"/>
    </row>
    <row r="129" spans="1:4" x14ac:dyDescent="0.2">
      <c r="A129" s="81">
        <v>104</v>
      </c>
      <c r="B129" s="81"/>
      <c r="C129" s="81"/>
      <c r="D129" s="81"/>
    </row>
    <row r="130" spans="1:4" x14ac:dyDescent="0.2">
      <c r="A130" s="81">
        <v>105</v>
      </c>
      <c r="B130" s="81"/>
      <c r="C130" s="81"/>
      <c r="D130" s="81"/>
    </row>
    <row r="131" spans="1:4" x14ac:dyDescent="0.2">
      <c r="A131" s="81"/>
      <c r="B131" s="81"/>
      <c r="C131" s="81"/>
      <c r="D131" s="81"/>
    </row>
    <row r="132" spans="1:4" x14ac:dyDescent="0.2">
      <c r="A132" s="81"/>
      <c r="B132" s="81"/>
      <c r="C132" s="81"/>
      <c r="D132" s="81"/>
    </row>
    <row r="133" spans="1:4" x14ac:dyDescent="0.2">
      <c r="A133" s="81"/>
      <c r="B133" s="81"/>
      <c r="C133" s="81"/>
      <c r="D133" s="81"/>
    </row>
    <row r="134" spans="1:4" x14ac:dyDescent="0.2">
      <c r="A134" s="81"/>
      <c r="B134" s="81"/>
      <c r="C134" s="81"/>
      <c r="D134" s="81"/>
    </row>
    <row r="135" spans="1:4" x14ac:dyDescent="0.2">
      <c r="A135" s="81"/>
      <c r="B135" s="81"/>
      <c r="C135" s="81"/>
      <c r="D135" s="81"/>
    </row>
    <row r="136" spans="1:4" x14ac:dyDescent="0.2">
      <c r="A136" s="81"/>
      <c r="B136" s="81"/>
      <c r="C136" s="81"/>
      <c r="D136" s="81"/>
    </row>
    <row r="137" spans="1:4" x14ac:dyDescent="0.2">
      <c r="A137" s="81"/>
      <c r="B137" s="81"/>
      <c r="C137" s="81"/>
      <c r="D137" s="81"/>
    </row>
    <row r="138" spans="1:4" x14ac:dyDescent="0.2">
      <c r="A138" s="81"/>
      <c r="B138" s="81"/>
      <c r="C138" s="81"/>
      <c r="D138" s="81"/>
    </row>
    <row r="139" spans="1:4" x14ac:dyDescent="0.2">
      <c r="A139" s="81"/>
      <c r="B139" s="81"/>
      <c r="C139" s="81"/>
      <c r="D139" s="81"/>
    </row>
    <row r="140" spans="1:4" x14ac:dyDescent="0.2">
      <c r="A140" s="81"/>
      <c r="B140" s="81"/>
      <c r="C140" s="81"/>
      <c r="D140" s="81"/>
    </row>
    <row r="141" spans="1:4" x14ac:dyDescent="0.2">
      <c r="A141" s="81"/>
      <c r="B141" s="81"/>
      <c r="C141" s="81"/>
      <c r="D141" s="81"/>
    </row>
    <row r="142" spans="1:4" x14ac:dyDescent="0.2">
      <c r="A142" s="81"/>
      <c r="B142" s="81"/>
      <c r="C142" s="81"/>
      <c r="D142" s="81"/>
    </row>
    <row r="143" spans="1:4" x14ac:dyDescent="0.2">
      <c r="A143" s="81"/>
      <c r="B143" s="81"/>
      <c r="C143" s="81"/>
      <c r="D143" s="81"/>
    </row>
    <row r="144" spans="1:4" x14ac:dyDescent="0.2">
      <c r="A144" s="81"/>
      <c r="B144" s="81"/>
      <c r="C144" s="81"/>
      <c r="D144" s="81"/>
    </row>
    <row r="145" spans="1:4" x14ac:dyDescent="0.2">
      <c r="A145" s="81"/>
      <c r="B145" s="81"/>
      <c r="C145" s="81"/>
      <c r="D145" s="81"/>
    </row>
    <row r="146" spans="1:4" x14ac:dyDescent="0.2">
      <c r="A146" s="81"/>
      <c r="B146" s="81"/>
      <c r="C146" s="81"/>
      <c r="D146" s="81"/>
    </row>
    <row r="147" spans="1:4" x14ac:dyDescent="0.2">
      <c r="A147" s="81"/>
      <c r="B147" s="81"/>
      <c r="C147" s="81"/>
      <c r="D147" s="81"/>
    </row>
    <row r="148" spans="1:4" x14ac:dyDescent="0.2">
      <c r="A148" s="81"/>
      <c r="B148" s="81"/>
      <c r="C148" s="81"/>
      <c r="D148" s="81"/>
    </row>
    <row r="149" spans="1:4" x14ac:dyDescent="0.2">
      <c r="A149" s="81"/>
      <c r="B149" s="81"/>
      <c r="C149" s="81"/>
      <c r="D149" s="81"/>
    </row>
    <row r="150" spans="1:4" x14ac:dyDescent="0.2">
      <c r="A150" s="81"/>
      <c r="B150" s="81"/>
      <c r="C150" s="81"/>
      <c r="D150" s="81"/>
    </row>
    <row r="151" spans="1:4" x14ac:dyDescent="0.2">
      <c r="A151" s="81"/>
      <c r="B151" s="81"/>
      <c r="C151" s="81"/>
      <c r="D151" s="81"/>
    </row>
    <row r="152" spans="1:4" x14ac:dyDescent="0.2">
      <c r="A152" s="81"/>
      <c r="B152" s="81"/>
      <c r="C152" s="81"/>
      <c r="D152" s="81"/>
    </row>
    <row r="153" spans="1:4" x14ac:dyDescent="0.2">
      <c r="A153" s="81"/>
      <c r="B153" s="81"/>
      <c r="C153" s="81"/>
      <c r="D153" s="81"/>
    </row>
    <row r="154" spans="1:4" x14ac:dyDescent="0.2">
      <c r="A154" s="81"/>
      <c r="B154" s="81"/>
      <c r="C154" s="81"/>
      <c r="D154" s="81"/>
    </row>
    <row r="155" spans="1:4" x14ac:dyDescent="0.2">
      <c r="A155" s="81"/>
      <c r="B155" s="81"/>
      <c r="C155" s="81"/>
      <c r="D155" s="81"/>
    </row>
    <row r="156" spans="1:4" x14ac:dyDescent="0.2">
      <c r="A156" s="81"/>
      <c r="B156" s="81"/>
      <c r="C156" s="81"/>
      <c r="D156" s="81"/>
    </row>
    <row r="157" spans="1:4" x14ac:dyDescent="0.2">
      <c r="A157" s="81"/>
      <c r="B157" s="81"/>
      <c r="C157" s="81"/>
      <c r="D157" s="81"/>
    </row>
    <row r="158" spans="1:4" x14ac:dyDescent="0.2">
      <c r="A158" s="81"/>
      <c r="B158" s="81"/>
      <c r="C158" s="81"/>
      <c r="D158" s="81"/>
    </row>
    <row r="159" spans="1:4" x14ac:dyDescent="0.2">
      <c r="A159" s="81"/>
      <c r="B159" s="81"/>
      <c r="C159" s="81"/>
      <c r="D159" s="81"/>
    </row>
    <row r="160" spans="1:4" x14ac:dyDescent="0.2">
      <c r="A160" s="81"/>
      <c r="B160" s="81"/>
      <c r="C160" s="81"/>
      <c r="D160" s="81"/>
    </row>
    <row r="161" spans="1:4" x14ac:dyDescent="0.2">
      <c r="A161" s="81"/>
      <c r="B161" s="81"/>
      <c r="C161" s="81"/>
      <c r="D161" s="81"/>
    </row>
    <row r="162" spans="1:4" x14ac:dyDescent="0.2">
      <c r="A162" s="81"/>
      <c r="B162" s="81"/>
      <c r="C162" s="81"/>
      <c r="D162" s="81"/>
    </row>
    <row r="163" spans="1:4" x14ac:dyDescent="0.2">
      <c r="A163" s="81"/>
      <c r="B163" s="81"/>
      <c r="C163" s="81"/>
      <c r="D163" s="81"/>
    </row>
    <row r="164" spans="1:4" x14ac:dyDescent="0.2">
      <c r="A164" s="81"/>
      <c r="B164" s="81"/>
      <c r="C164" s="81"/>
      <c r="D164" s="81"/>
    </row>
    <row r="165" spans="1:4" x14ac:dyDescent="0.2">
      <c r="A165" s="81"/>
      <c r="B165" s="81"/>
      <c r="C165" s="81"/>
      <c r="D165" s="81"/>
    </row>
    <row r="166" spans="1:4" x14ac:dyDescent="0.2">
      <c r="A166" s="81"/>
      <c r="B166" s="81"/>
      <c r="C166" s="81"/>
      <c r="D166" s="81"/>
    </row>
    <row r="167" spans="1:4" x14ac:dyDescent="0.2">
      <c r="A167" s="81"/>
      <c r="B167" s="81"/>
      <c r="C167" s="81"/>
      <c r="D167" s="81"/>
    </row>
    <row r="168" spans="1:4" x14ac:dyDescent="0.2">
      <c r="A168" s="81"/>
      <c r="B168" s="81"/>
      <c r="C168" s="81"/>
      <c r="D168" s="81"/>
    </row>
    <row r="169" spans="1:4" x14ac:dyDescent="0.2">
      <c r="A169" s="81"/>
      <c r="B169" s="81"/>
      <c r="C169" s="81"/>
      <c r="D169" s="81"/>
    </row>
    <row r="170" spans="1:4" x14ac:dyDescent="0.2">
      <c r="A170" s="81"/>
      <c r="B170" s="81"/>
      <c r="C170" s="81"/>
      <c r="D170" s="81"/>
    </row>
    <row r="171" spans="1:4" x14ac:dyDescent="0.2">
      <c r="A171" s="81"/>
      <c r="B171" s="81"/>
      <c r="C171" s="81"/>
      <c r="D171" s="81"/>
    </row>
    <row r="172" spans="1:4" x14ac:dyDescent="0.2">
      <c r="A172" s="81"/>
      <c r="B172" s="81"/>
      <c r="C172" s="81"/>
      <c r="D172" s="81"/>
    </row>
    <row r="173" spans="1:4" x14ac:dyDescent="0.2">
      <c r="A173" s="81"/>
      <c r="B173" s="81"/>
      <c r="C173" s="81"/>
      <c r="D173" s="81"/>
    </row>
    <row r="174" spans="1:4" x14ac:dyDescent="0.2">
      <c r="A174" s="81"/>
      <c r="B174" s="81"/>
      <c r="C174" s="81"/>
      <c r="D174" s="81"/>
    </row>
    <row r="175" spans="1:4" x14ac:dyDescent="0.2">
      <c r="A175" s="81"/>
      <c r="B175" s="81"/>
      <c r="C175" s="81"/>
      <c r="D175" s="81"/>
    </row>
    <row r="176" spans="1:4" x14ac:dyDescent="0.2">
      <c r="A176" s="81"/>
      <c r="B176" s="81"/>
      <c r="C176" s="81"/>
      <c r="D176" s="81"/>
    </row>
    <row r="177" spans="1:4" x14ac:dyDescent="0.2">
      <c r="A177" s="81"/>
      <c r="B177" s="81"/>
      <c r="C177" s="81"/>
      <c r="D177" s="81"/>
    </row>
    <row r="178" spans="1:4" x14ac:dyDescent="0.2">
      <c r="A178" s="81"/>
      <c r="B178" s="81"/>
      <c r="C178" s="81"/>
      <c r="D178" s="81"/>
    </row>
    <row r="179" spans="1:4" x14ac:dyDescent="0.2">
      <c r="A179" s="81"/>
      <c r="B179" s="81"/>
      <c r="C179" s="81"/>
      <c r="D179" s="81"/>
    </row>
    <row r="180" spans="1:4" x14ac:dyDescent="0.2">
      <c r="A180" s="81"/>
      <c r="B180" s="81"/>
      <c r="C180" s="81"/>
      <c r="D180" s="81"/>
    </row>
    <row r="181" spans="1:4" x14ac:dyDescent="0.2">
      <c r="A181" s="81"/>
      <c r="B181" s="81"/>
      <c r="C181" s="81"/>
      <c r="D181" s="81"/>
    </row>
    <row r="182" spans="1:4" x14ac:dyDescent="0.2">
      <c r="A182" s="81"/>
      <c r="B182" s="81"/>
      <c r="C182" s="81"/>
      <c r="D182" s="81"/>
    </row>
    <row r="183" spans="1:4" x14ac:dyDescent="0.2">
      <c r="A183" s="81"/>
      <c r="B183" s="81"/>
      <c r="C183" s="81"/>
      <c r="D183" s="81"/>
    </row>
    <row r="184" spans="1:4" x14ac:dyDescent="0.2">
      <c r="A184" s="81"/>
      <c r="B184" s="81"/>
      <c r="C184" s="81"/>
      <c r="D184" s="81"/>
    </row>
    <row r="185" spans="1:4" x14ac:dyDescent="0.2">
      <c r="A185" s="81"/>
      <c r="B185" s="81"/>
      <c r="C185" s="81"/>
      <c r="D185" s="81"/>
    </row>
    <row r="186" spans="1:4" x14ac:dyDescent="0.2">
      <c r="A186" s="81"/>
      <c r="B186" s="81"/>
      <c r="C186" s="81"/>
      <c r="D186" s="81"/>
    </row>
    <row r="187" spans="1:4" x14ac:dyDescent="0.2">
      <c r="A187" s="81"/>
      <c r="B187" s="81"/>
      <c r="C187" s="81"/>
      <c r="D187" s="81"/>
    </row>
    <row r="188" spans="1:4" x14ac:dyDescent="0.2">
      <c r="A188" s="81"/>
      <c r="B188" s="81"/>
      <c r="C188" s="81"/>
      <c r="D188" s="81"/>
    </row>
    <row r="189" spans="1:4" x14ac:dyDescent="0.2">
      <c r="A189" s="81"/>
      <c r="B189" s="81"/>
      <c r="C189" s="81"/>
      <c r="D189" s="81"/>
    </row>
    <row r="190" spans="1:4" x14ac:dyDescent="0.2">
      <c r="A190" s="81"/>
      <c r="B190" s="81"/>
      <c r="C190" s="81"/>
      <c r="D190" s="81"/>
    </row>
    <row r="191" spans="1:4" x14ac:dyDescent="0.2">
      <c r="A191" s="81"/>
      <c r="B191" s="81"/>
      <c r="C191" s="81"/>
      <c r="D191" s="81"/>
    </row>
    <row r="192" spans="1:4" x14ac:dyDescent="0.2">
      <c r="A192" s="81"/>
      <c r="B192" s="81"/>
      <c r="C192" s="81"/>
      <c r="D192" s="81"/>
    </row>
    <row r="193" spans="1:4" x14ac:dyDescent="0.2">
      <c r="A193" s="81"/>
      <c r="B193" s="81"/>
      <c r="C193" s="81"/>
      <c r="D193" s="81"/>
    </row>
    <row r="194" spans="1:4" x14ac:dyDescent="0.2">
      <c r="A194" s="81"/>
      <c r="B194" s="81"/>
      <c r="C194" s="81"/>
      <c r="D194" s="81"/>
    </row>
    <row r="195" spans="1:4" x14ac:dyDescent="0.2">
      <c r="A195" s="81"/>
      <c r="B195" s="81"/>
      <c r="C195" s="81"/>
      <c r="D195" s="81"/>
    </row>
    <row r="196" spans="1:4" x14ac:dyDescent="0.2">
      <c r="A196" s="81"/>
      <c r="B196" s="81"/>
      <c r="C196" s="81"/>
      <c r="D196" s="81"/>
    </row>
    <row r="197" spans="1:4" x14ac:dyDescent="0.2">
      <c r="A197" s="81"/>
      <c r="B197" s="81"/>
      <c r="C197" s="81"/>
      <c r="D197" s="81"/>
    </row>
    <row r="198" spans="1:4" x14ac:dyDescent="0.2">
      <c r="A198" s="81"/>
      <c r="B198" s="81"/>
      <c r="C198" s="81"/>
      <c r="D198" s="81"/>
    </row>
    <row r="199" spans="1:4" x14ac:dyDescent="0.2">
      <c r="A199" s="81"/>
      <c r="B199" s="81"/>
      <c r="C199" s="81"/>
      <c r="D199" s="81"/>
    </row>
    <row r="200" spans="1:4" x14ac:dyDescent="0.2">
      <c r="A200" s="81"/>
      <c r="B200" s="81"/>
      <c r="C200" s="81"/>
      <c r="D200" s="81"/>
    </row>
    <row r="201" spans="1:4" x14ac:dyDescent="0.2">
      <c r="A201" s="81"/>
      <c r="B201" s="81"/>
      <c r="C201" s="81"/>
      <c r="D201" s="81"/>
    </row>
    <row r="202" spans="1:4" x14ac:dyDescent="0.2">
      <c r="A202" s="81"/>
      <c r="B202" s="81"/>
      <c r="C202" s="81"/>
      <c r="D202" s="81"/>
    </row>
    <row r="203" spans="1:4" x14ac:dyDescent="0.2">
      <c r="A203" s="81"/>
      <c r="B203" s="81"/>
      <c r="C203" s="81"/>
      <c r="D203" s="81"/>
    </row>
    <row r="204" spans="1:4" x14ac:dyDescent="0.2">
      <c r="A204" s="81"/>
      <c r="B204" s="81"/>
      <c r="C204" s="81"/>
      <c r="D204" s="81"/>
    </row>
    <row r="205" spans="1:4" x14ac:dyDescent="0.2">
      <c r="A205" s="81"/>
      <c r="B205" s="81"/>
      <c r="C205" s="81"/>
      <c r="D205" s="81"/>
    </row>
    <row r="206" spans="1:4" x14ac:dyDescent="0.2">
      <c r="A206" s="81"/>
      <c r="B206" s="81"/>
      <c r="C206" s="81"/>
      <c r="D206" s="81"/>
    </row>
    <row r="207" spans="1:4" x14ac:dyDescent="0.2">
      <c r="A207" s="81"/>
      <c r="B207" s="81"/>
      <c r="C207" s="81"/>
      <c r="D207" s="81"/>
    </row>
    <row r="208" spans="1:4" x14ac:dyDescent="0.2">
      <c r="A208" s="81"/>
      <c r="B208" s="81"/>
      <c r="C208" s="81"/>
      <c r="D208" s="81"/>
    </row>
    <row r="209" spans="1:4" x14ac:dyDescent="0.2">
      <c r="A209" s="81"/>
      <c r="B209" s="81"/>
      <c r="C209" s="81"/>
      <c r="D209" s="81"/>
    </row>
    <row r="210" spans="1:4" x14ac:dyDescent="0.2">
      <c r="A210" s="81"/>
      <c r="B210" s="81"/>
      <c r="C210" s="81"/>
      <c r="D210" s="81"/>
    </row>
    <row r="211" spans="1:4" x14ac:dyDescent="0.2">
      <c r="A211" s="81"/>
      <c r="B211" s="81"/>
      <c r="C211" s="81"/>
      <c r="D211" s="81"/>
    </row>
    <row r="212" spans="1:4" x14ac:dyDescent="0.2">
      <c r="A212" s="81"/>
      <c r="B212" s="81"/>
      <c r="C212" s="81"/>
      <c r="D212" s="81"/>
    </row>
    <row r="213" spans="1:4" x14ac:dyDescent="0.2">
      <c r="A213" s="81"/>
      <c r="B213" s="81"/>
      <c r="C213" s="81"/>
      <c r="D213" s="81"/>
    </row>
    <row r="214" spans="1:4" x14ac:dyDescent="0.2">
      <c r="A214" s="81"/>
      <c r="B214" s="81"/>
      <c r="C214" s="81"/>
      <c r="D214" s="81"/>
    </row>
    <row r="215" spans="1:4" x14ac:dyDescent="0.2">
      <c r="A215" s="81"/>
      <c r="B215" s="81"/>
      <c r="C215" s="81"/>
      <c r="D215" s="81"/>
    </row>
    <row r="216" spans="1:4" x14ac:dyDescent="0.2">
      <c r="A216" s="81"/>
      <c r="B216" s="81"/>
      <c r="C216" s="81"/>
      <c r="D216" s="81"/>
    </row>
    <row r="217" spans="1:4" x14ac:dyDescent="0.2">
      <c r="A217" s="81"/>
      <c r="B217" s="81"/>
      <c r="C217" s="81"/>
      <c r="D217" s="81"/>
    </row>
    <row r="218" spans="1:4" x14ac:dyDescent="0.2">
      <c r="A218" s="81"/>
      <c r="B218" s="81"/>
      <c r="C218" s="81"/>
      <c r="D218" s="81"/>
    </row>
    <row r="219" spans="1:4" x14ac:dyDescent="0.2">
      <c r="A219" s="81"/>
      <c r="B219" s="81"/>
      <c r="C219" s="81"/>
      <c r="D219" s="81"/>
    </row>
    <row r="220" spans="1:4" x14ac:dyDescent="0.2">
      <c r="A220" s="81"/>
      <c r="B220" s="81"/>
      <c r="C220" s="81"/>
      <c r="D220" s="81"/>
    </row>
    <row r="221" spans="1:4" x14ac:dyDescent="0.2">
      <c r="A221" s="81"/>
      <c r="B221" s="81"/>
      <c r="C221" s="81"/>
      <c r="D221" s="81"/>
    </row>
    <row r="222" spans="1:4" x14ac:dyDescent="0.2">
      <c r="A222" s="81"/>
      <c r="B222" s="81"/>
      <c r="C222" s="81"/>
      <c r="D222" s="81"/>
    </row>
    <row r="223" spans="1:4" x14ac:dyDescent="0.2">
      <c r="A223" s="81"/>
      <c r="B223" s="81"/>
      <c r="C223" s="81"/>
      <c r="D223" s="81"/>
    </row>
    <row r="224" spans="1:4" x14ac:dyDescent="0.2">
      <c r="A224" s="81"/>
      <c r="B224" s="81"/>
      <c r="C224" s="81"/>
      <c r="D224" s="81"/>
    </row>
    <row r="225" spans="1:4" x14ac:dyDescent="0.2">
      <c r="A225" s="81"/>
      <c r="B225" s="81"/>
      <c r="C225" s="81"/>
      <c r="D225" s="81"/>
    </row>
    <row r="226" spans="1:4" x14ac:dyDescent="0.2">
      <c r="A226" s="81"/>
      <c r="B226" s="81"/>
      <c r="C226" s="81"/>
      <c r="D226" s="81"/>
    </row>
    <row r="227" spans="1:4" x14ac:dyDescent="0.2">
      <c r="A227" s="81"/>
      <c r="B227" s="81"/>
      <c r="C227" s="81"/>
      <c r="D227" s="81"/>
    </row>
    <row r="228" spans="1:4" x14ac:dyDescent="0.2">
      <c r="A228" s="81"/>
      <c r="B228" s="81"/>
      <c r="C228" s="81"/>
      <c r="D228" s="81"/>
    </row>
    <row r="229" spans="1:4" x14ac:dyDescent="0.2">
      <c r="A229" s="81"/>
      <c r="B229" s="81"/>
      <c r="C229" s="81"/>
      <c r="D229" s="81"/>
    </row>
    <row r="230" spans="1:4" x14ac:dyDescent="0.2">
      <c r="A230" s="81"/>
      <c r="B230" s="81"/>
      <c r="C230" s="81"/>
      <c r="D230" s="81"/>
    </row>
    <row r="231" spans="1:4" x14ac:dyDescent="0.2">
      <c r="A231" s="81"/>
      <c r="B231" s="81"/>
      <c r="C231" s="81"/>
      <c r="D231" s="81"/>
    </row>
    <row r="232" spans="1:4" x14ac:dyDescent="0.2">
      <c r="A232" s="81"/>
      <c r="B232" s="81"/>
      <c r="C232" s="81"/>
      <c r="D232" s="81"/>
    </row>
    <row r="233" spans="1:4" x14ac:dyDescent="0.2">
      <c r="A233" s="81"/>
      <c r="B233" s="81"/>
      <c r="C233" s="81"/>
      <c r="D233" s="81"/>
    </row>
    <row r="234" spans="1:4" x14ac:dyDescent="0.2">
      <c r="A234" s="81"/>
      <c r="B234" s="81"/>
      <c r="C234" s="81"/>
      <c r="D234" s="81"/>
    </row>
    <row r="235" spans="1:4" x14ac:dyDescent="0.2">
      <c r="A235" s="81"/>
      <c r="B235" s="81"/>
      <c r="C235" s="81"/>
      <c r="D235" s="81"/>
    </row>
    <row r="236" spans="1:4" x14ac:dyDescent="0.2">
      <c r="A236" s="81"/>
      <c r="B236" s="81"/>
      <c r="C236" s="81"/>
      <c r="D236" s="81"/>
    </row>
    <row r="237" spans="1:4" x14ac:dyDescent="0.2">
      <c r="A237" s="81"/>
      <c r="B237" s="81"/>
      <c r="C237" s="81"/>
      <c r="D237" s="81"/>
    </row>
    <row r="238" spans="1:4" x14ac:dyDescent="0.2">
      <c r="A238" s="81"/>
      <c r="B238" s="81"/>
      <c r="C238" s="81"/>
      <c r="D238" s="81"/>
    </row>
    <row r="239" spans="1:4" x14ac:dyDescent="0.2">
      <c r="A239" s="81"/>
      <c r="B239" s="81"/>
      <c r="C239" s="81"/>
      <c r="D239" s="81"/>
    </row>
    <row r="240" spans="1:4" x14ac:dyDescent="0.2">
      <c r="A240" s="81"/>
      <c r="B240" s="81"/>
      <c r="C240" s="81"/>
      <c r="D240" s="81"/>
    </row>
    <row r="241" spans="1:4" x14ac:dyDescent="0.2">
      <c r="A241" s="81"/>
      <c r="B241" s="81"/>
      <c r="C241" s="81"/>
      <c r="D241" s="81"/>
    </row>
    <row r="242" spans="1:4" x14ac:dyDescent="0.2">
      <c r="A242" s="81"/>
      <c r="B242" s="81"/>
      <c r="C242" s="81"/>
      <c r="D242" s="81"/>
    </row>
    <row r="243" spans="1:4" x14ac:dyDescent="0.2">
      <c r="A243" s="81"/>
      <c r="B243" s="81"/>
      <c r="C243" s="81"/>
      <c r="D243" s="81"/>
    </row>
    <row r="244" spans="1:4" x14ac:dyDescent="0.2">
      <c r="A244" s="81"/>
      <c r="B244" s="81"/>
      <c r="C244" s="81"/>
      <c r="D244" s="81"/>
    </row>
    <row r="245" spans="1:4" x14ac:dyDescent="0.2">
      <c r="A245" s="81"/>
      <c r="B245" s="81"/>
      <c r="C245" s="81"/>
      <c r="D245" s="81"/>
    </row>
    <row r="246" spans="1:4" x14ac:dyDescent="0.2">
      <c r="A246" s="81"/>
      <c r="B246" s="81"/>
      <c r="C246" s="81"/>
      <c r="D246" s="81"/>
    </row>
    <row r="247" spans="1:4" x14ac:dyDescent="0.2">
      <c r="A247" s="81"/>
      <c r="B247" s="81"/>
      <c r="C247" s="81"/>
      <c r="D247" s="81"/>
    </row>
    <row r="248" spans="1:4" x14ac:dyDescent="0.2">
      <c r="A248" s="81"/>
      <c r="B248" s="81"/>
      <c r="C248" s="81"/>
      <c r="D248" s="81"/>
    </row>
    <row r="249" spans="1:4" x14ac:dyDescent="0.2">
      <c r="A249" s="81"/>
      <c r="B249" s="81"/>
      <c r="C249" s="81"/>
      <c r="D249" s="81"/>
    </row>
    <row r="250" spans="1:4" x14ac:dyDescent="0.2">
      <c r="A250" s="81"/>
      <c r="B250" s="81"/>
      <c r="C250" s="81"/>
      <c r="D250" s="81"/>
    </row>
    <row r="251" spans="1:4" x14ac:dyDescent="0.2">
      <c r="A251" s="81"/>
      <c r="B251" s="81"/>
      <c r="C251" s="81"/>
      <c r="D251" s="81"/>
    </row>
    <row r="252" spans="1:4" x14ac:dyDescent="0.2">
      <c r="A252" s="81"/>
      <c r="B252" s="81"/>
      <c r="C252" s="81"/>
      <c r="D252" s="81"/>
    </row>
    <row r="253" spans="1:4" x14ac:dyDescent="0.2">
      <c r="A253" s="81"/>
      <c r="B253" s="81"/>
      <c r="C253" s="81"/>
      <c r="D253" s="81"/>
    </row>
    <row r="254" spans="1:4" x14ac:dyDescent="0.2">
      <c r="A254" s="81"/>
      <c r="B254" s="81"/>
      <c r="C254" s="81"/>
      <c r="D254" s="81"/>
    </row>
    <row r="255" spans="1:4" x14ac:dyDescent="0.2">
      <c r="A255" s="81"/>
      <c r="B255" s="81"/>
      <c r="C255" s="81"/>
      <c r="D255" s="81"/>
    </row>
    <row r="256" spans="1:4" x14ac:dyDescent="0.2">
      <c r="A256" s="81"/>
      <c r="B256" s="81"/>
      <c r="C256" s="81"/>
      <c r="D256" s="81"/>
    </row>
    <row r="257" spans="1:4" x14ac:dyDescent="0.2">
      <c r="A257" s="81"/>
      <c r="B257" s="81"/>
      <c r="C257" s="81"/>
      <c r="D257" s="81"/>
    </row>
    <row r="258" spans="1:4" x14ac:dyDescent="0.2">
      <c r="A258" s="81"/>
      <c r="B258" s="81"/>
      <c r="C258" s="81"/>
      <c r="D258" s="81"/>
    </row>
    <row r="259" spans="1:4" x14ac:dyDescent="0.2">
      <c r="A259" s="81"/>
      <c r="B259" s="81"/>
      <c r="C259" s="81"/>
      <c r="D259" s="81"/>
    </row>
    <row r="260" spans="1:4" x14ac:dyDescent="0.2">
      <c r="A260" s="81"/>
      <c r="B260" s="81"/>
      <c r="C260" s="81"/>
      <c r="D260" s="81"/>
    </row>
    <row r="261" spans="1:4" x14ac:dyDescent="0.2">
      <c r="A261" s="81"/>
      <c r="B261" s="81"/>
      <c r="C261" s="81"/>
      <c r="D261" s="81"/>
    </row>
    <row r="262" spans="1:4" x14ac:dyDescent="0.2">
      <c r="A262" s="81"/>
      <c r="B262" s="81"/>
      <c r="C262" s="81"/>
      <c r="D262" s="81"/>
    </row>
    <row r="263" spans="1:4" x14ac:dyDescent="0.2">
      <c r="A263" s="81"/>
      <c r="B263" s="81"/>
      <c r="C263" s="81"/>
      <c r="D263" s="81"/>
    </row>
    <row r="264" spans="1:4" x14ac:dyDescent="0.2">
      <c r="A264" s="81"/>
      <c r="B264" s="81"/>
      <c r="C264" s="81"/>
      <c r="D264" s="81"/>
    </row>
    <row r="265" spans="1:4" x14ac:dyDescent="0.2">
      <c r="A265" s="81"/>
      <c r="B265" s="81"/>
      <c r="C265" s="81"/>
      <c r="D265" s="81"/>
    </row>
    <row r="266" spans="1:4" x14ac:dyDescent="0.2">
      <c r="A266" s="81"/>
      <c r="B266" s="81"/>
      <c r="C266" s="81"/>
      <c r="D266" s="81"/>
    </row>
    <row r="267" spans="1:4" x14ac:dyDescent="0.2">
      <c r="A267" s="81"/>
      <c r="B267" s="81"/>
      <c r="C267" s="81"/>
      <c r="D267" s="81"/>
    </row>
    <row r="268" spans="1:4" x14ac:dyDescent="0.2">
      <c r="A268" s="81"/>
      <c r="B268" s="81"/>
      <c r="C268" s="81"/>
      <c r="D268" s="81"/>
    </row>
    <row r="269" spans="1:4" x14ac:dyDescent="0.2">
      <c r="A269" s="81"/>
      <c r="B269" s="81"/>
      <c r="C269" s="81"/>
      <c r="D269" s="81"/>
    </row>
    <row r="270" spans="1:4" x14ac:dyDescent="0.2">
      <c r="A270" s="81"/>
      <c r="B270" s="81"/>
      <c r="C270" s="81"/>
      <c r="D270" s="81"/>
    </row>
    <row r="271" spans="1:4" x14ac:dyDescent="0.2">
      <c r="A271" s="81"/>
      <c r="B271" s="81"/>
      <c r="C271" s="81"/>
      <c r="D271" s="81"/>
    </row>
    <row r="272" spans="1:4" x14ac:dyDescent="0.2">
      <c r="A272" s="81"/>
      <c r="B272" s="81"/>
      <c r="C272" s="81"/>
      <c r="D272" s="81"/>
    </row>
    <row r="273" spans="1:4" x14ac:dyDescent="0.2">
      <c r="A273" s="81"/>
      <c r="B273" s="81"/>
      <c r="C273" s="81"/>
      <c r="D273" s="81"/>
    </row>
    <row r="274" spans="1:4" x14ac:dyDescent="0.2">
      <c r="A274" s="81"/>
      <c r="B274" s="81"/>
      <c r="C274" s="81"/>
      <c r="D274" s="81"/>
    </row>
    <row r="275" spans="1:4" x14ac:dyDescent="0.2">
      <c r="A275" s="81"/>
      <c r="B275" s="81"/>
      <c r="C275" s="81"/>
      <c r="D275" s="81"/>
    </row>
    <row r="276" spans="1:4" x14ac:dyDescent="0.2">
      <c r="A276" s="81"/>
      <c r="B276" s="81"/>
      <c r="C276" s="81"/>
      <c r="D276" s="81"/>
    </row>
    <row r="277" spans="1:4" x14ac:dyDescent="0.2">
      <c r="A277" s="81"/>
      <c r="B277" s="81"/>
      <c r="C277" s="81"/>
      <c r="D277" s="81"/>
    </row>
    <row r="278" spans="1:4" x14ac:dyDescent="0.2">
      <c r="A278" s="81"/>
      <c r="B278" s="81"/>
      <c r="C278" s="81"/>
      <c r="D278" s="81"/>
    </row>
    <row r="279" spans="1:4" x14ac:dyDescent="0.2">
      <c r="A279" s="81"/>
      <c r="B279" s="81"/>
      <c r="C279" s="81"/>
      <c r="D279" s="81"/>
    </row>
    <row r="280" spans="1:4" x14ac:dyDescent="0.2">
      <c r="A280" s="81"/>
      <c r="B280" s="81"/>
      <c r="C280" s="81"/>
      <c r="D280" s="81"/>
    </row>
    <row r="281" spans="1:4" x14ac:dyDescent="0.2">
      <c r="A281" s="81"/>
      <c r="B281" s="81"/>
      <c r="C281" s="81"/>
      <c r="D281" s="81"/>
    </row>
    <row r="282" spans="1:4" x14ac:dyDescent="0.2">
      <c r="A282" s="81"/>
      <c r="B282" s="81"/>
      <c r="C282" s="81"/>
      <c r="D282" s="81"/>
    </row>
    <row r="283" spans="1:4" x14ac:dyDescent="0.2">
      <c r="A283" s="81"/>
      <c r="B283" s="81"/>
      <c r="C283" s="81"/>
      <c r="D283" s="81"/>
    </row>
    <row r="284" spans="1:4" x14ac:dyDescent="0.2">
      <c r="A284" s="81"/>
      <c r="B284" s="81"/>
      <c r="C284" s="81"/>
      <c r="D284" s="81"/>
    </row>
    <row r="285" spans="1:4" x14ac:dyDescent="0.2">
      <c r="A285" s="81"/>
      <c r="B285" s="81"/>
      <c r="C285" s="81"/>
      <c r="D285" s="81"/>
    </row>
    <row r="286" spans="1:4" x14ac:dyDescent="0.2">
      <c r="A286" s="81"/>
      <c r="B286" s="81"/>
      <c r="C286" s="81"/>
      <c r="D286" s="81"/>
    </row>
    <row r="287" spans="1:4" x14ac:dyDescent="0.2">
      <c r="A287" s="81"/>
      <c r="B287" s="81"/>
      <c r="C287" s="81"/>
      <c r="D287" s="81"/>
    </row>
    <row r="288" spans="1:4" x14ac:dyDescent="0.2">
      <c r="A288" s="81"/>
      <c r="B288" s="81"/>
      <c r="C288" s="81"/>
      <c r="D288" s="81"/>
    </row>
    <row r="289" spans="1:4" x14ac:dyDescent="0.2">
      <c r="A289" s="81"/>
      <c r="B289" s="81"/>
      <c r="C289" s="81"/>
      <c r="D289" s="81"/>
    </row>
    <row r="290" spans="1:4" x14ac:dyDescent="0.2">
      <c r="A290" s="81"/>
      <c r="B290" s="81"/>
      <c r="C290" s="81"/>
      <c r="D290" s="81"/>
    </row>
    <row r="291" spans="1:4" x14ac:dyDescent="0.2">
      <c r="A291" s="81"/>
      <c r="B291" s="81"/>
      <c r="C291" s="81"/>
      <c r="D291" s="81"/>
    </row>
    <row r="292" spans="1:4" x14ac:dyDescent="0.2">
      <c r="A292" s="81"/>
      <c r="B292" s="81"/>
      <c r="C292" s="81"/>
      <c r="D292" s="81"/>
    </row>
    <row r="293" spans="1:4" x14ac:dyDescent="0.2">
      <c r="A293" s="81"/>
      <c r="B293" s="81"/>
      <c r="C293" s="81"/>
      <c r="D293" s="81"/>
    </row>
    <row r="294" spans="1:4" x14ac:dyDescent="0.2">
      <c r="A294" s="81"/>
      <c r="B294" s="81"/>
      <c r="C294" s="81"/>
      <c r="D294" s="81"/>
    </row>
    <row r="295" spans="1:4" x14ac:dyDescent="0.2">
      <c r="A295" s="81"/>
      <c r="B295" s="81"/>
      <c r="C295" s="81"/>
      <c r="D295" s="81"/>
    </row>
    <row r="296" spans="1:4" x14ac:dyDescent="0.2">
      <c r="A296" s="81"/>
      <c r="B296" s="81"/>
      <c r="C296" s="81"/>
      <c r="D296" s="81"/>
    </row>
    <row r="297" spans="1:4" x14ac:dyDescent="0.2">
      <c r="A297" s="81"/>
      <c r="B297" s="81"/>
      <c r="C297" s="81"/>
      <c r="D297" s="81"/>
    </row>
    <row r="298" spans="1:4" x14ac:dyDescent="0.2">
      <c r="A298" s="81"/>
      <c r="B298" s="81"/>
      <c r="C298" s="81"/>
      <c r="D298" s="81"/>
    </row>
    <row r="299" spans="1:4" x14ac:dyDescent="0.2">
      <c r="A299" s="81"/>
      <c r="B299" s="81"/>
      <c r="C299" s="81"/>
      <c r="D299" s="81"/>
    </row>
    <row r="300" spans="1:4" x14ac:dyDescent="0.2">
      <c r="A300" s="81"/>
      <c r="B300" s="81"/>
      <c r="C300" s="81"/>
      <c r="D300" s="81"/>
    </row>
    <row r="301" spans="1:4" x14ac:dyDescent="0.2">
      <c r="A301" s="81"/>
      <c r="B301" s="81"/>
      <c r="C301" s="81"/>
      <c r="D301" s="81"/>
    </row>
    <row r="302" spans="1:4" x14ac:dyDescent="0.2">
      <c r="A302" s="81"/>
      <c r="B302" s="81"/>
      <c r="C302" s="81"/>
      <c r="D302" s="81"/>
    </row>
    <row r="303" spans="1:4" x14ac:dyDescent="0.2">
      <c r="A303" s="81"/>
      <c r="B303" s="81"/>
      <c r="C303" s="81"/>
      <c r="D303" s="81"/>
    </row>
    <row r="304" spans="1:4" x14ac:dyDescent="0.2">
      <c r="A304" s="81"/>
      <c r="B304" s="81"/>
      <c r="C304" s="81"/>
      <c r="D304" s="81"/>
    </row>
    <row r="305" spans="1:4" x14ac:dyDescent="0.2">
      <c r="A305" s="81"/>
      <c r="B305" s="81"/>
      <c r="C305" s="81"/>
      <c r="D305" s="81"/>
    </row>
    <row r="306" spans="1:4" x14ac:dyDescent="0.2">
      <c r="A306" s="81"/>
      <c r="B306" s="81"/>
      <c r="C306" s="81"/>
      <c r="D306" s="81"/>
    </row>
    <row r="307" spans="1:4" x14ac:dyDescent="0.2">
      <c r="A307" s="81"/>
      <c r="B307" s="81"/>
      <c r="C307" s="81"/>
      <c r="D307" s="81"/>
    </row>
    <row r="308" spans="1:4" x14ac:dyDescent="0.2">
      <c r="A308" s="81"/>
      <c r="B308" s="81"/>
      <c r="C308" s="81"/>
      <c r="D308" s="81"/>
    </row>
    <row r="309" spans="1:4" x14ac:dyDescent="0.2">
      <c r="A309" s="81"/>
      <c r="B309" s="81"/>
      <c r="C309" s="81"/>
      <c r="D309" s="81"/>
    </row>
    <row r="310" spans="1:4" x14ac:dyDescent="0.2">
      <c r="A310" s="81"/>
      <c r="B310" s="81"/>
      <c r="C310" s="81"/>
      <c r="D310" s="81"/>
    </row>
    <row r="311" spans="1:4" x14ac:dyDescent="0.2">
      <c r="A311" s="81"/>
      <c r="B311" s="81"/>
      <c r="C311" s="81"/>
      <c r="D311" s="81"/>
    </row>
    <row r="312" spans="1:4" x14ac:dyDescent="0.2">
      <c r="A312" s="81"/>
      <c r="B312" s="81"/>
      <c r="C312" s="81"/>
      <c r="D312" s="81"/>
    </row>
    <row r="313" spans="1:4" x14ac:dyDescent="0.2">
      <c r="A313" s="81"/>
      <c r="B313" s="81"/>
      <c r="C313" s="81"/>
      <c r="D313" s="81"/>
    </row>
    <row r="314" spans="1:4" x14ac:dyDescent="0.2">
      <c r="A314" s="81"/>
      <c r="B314" s="81"/>
      <c r="C314" s="81"/>
      <c r="D314" s="81"/>
    </row>
    <row r="315" spans="1:4" x14ac:dyDescent="0.2">
      <c r="A315" s="81"/>
      <c r="B315" s="81"/>
      <c r="C315" s="81"/>
      <c r="D315" s="81"/>
    </row>
    <row r="316" spans="1:4" x14ac:dyDescent="0.2">
      <c r="A316" s="81"/>
      <c r="B316" s="81"/>
      <c r="C316" s="81"/>
      <c r="D316" s="81"/>
    </row>
    <row r="317" spans="1:4" x14ac:dyDescent="0.2">
      <c r="A317" s="81"/>
      <c r="B317" s="81"/>
      <c r="C317" s="81"/>
      <c r="D317" s="81"/>
    </row>
    <row r="318" spans="1:4" x14ac:dyDescent="0.2">
      <c r="A318" s="81"/>
      <c r="B318" s="81"/>
      <c r="C318" s="81"/>
      <c r="D318" s="81"/>
    </row>
    <row r="319" spans="1:4" x14ac:dyDescent="0.2">
      <c r="A319" s="81"/>
      <c r="B319" s="81"/>
      <c r="C319" s="81"/>
      <c r="D319" s="81"/>
    </row>
    <row r="320" spans="1:4" x14ac:dyDescent="0.2">
      <c r="A320" s="81"/>
      <c r="B320" s="81"/>
      <c r="C320" s="81"/>
      <c r="D320" s="81"/>
    </row>
    <row r="321" spans="1:4" x14ac:dyDescent="0.2">
      <c r="A321" s="81"/>
      <c r="B321" s="81"/>
      <c r="C321" s="81"/>
      <c r="D321" s="81"/>
    </row>
    <row r="322" spans="1:4" x14ac:dyDescent="0.2">
      <c r="A322" s="81"/>
      <c r="B322" s="81"/>
      <c r="C322" s="81"/>
      <c r="D322" s="81"/>
    </row>
    <row r="323" spans="1:4" x14ac:dyDescent="0.2">
      <c r="A323" s="81"/>
      <c r="B323" s="81"/>
      <c r="C323" s="81"/>
      <c r="D323" s="81"/>
    </row>
    <row r="324" spans="1:4" x14ac:dyDescent="0.2">
      <c r="A324" s="81"/>
      <c r="B324" s="81"/>
      <c r="C324" s="81"/>
      <c r="D324" s="81"/>
    </row>
    <row r="325" spans="1:4" x14ac:dyDescent="0.2">
      <c r="A325" s="81"/>
      <c r="B325" s="81"/>
      <c r="C325" s="81"/>
      <c r="D325" s="81"/>
    </row>
    <row r="326" spans="1:4" x14ac:dyDescent="0.2">
      <c r="A326" s="81"/>
      <c r="B326" s="81"/>
      <c r="C326" s="81"/>
      <c r="D326" s="81"/>
    </row>
    <row r="327" spans="1:4" x14ac:dyDescent="0.2">
      <c r="A327" s="81"/>
      <c r="B327" s="81"/>
      <c r="C327" s="81"/>
      <c r="D327" s="81"/>
    </row>
    <row r="328" spans="1:4" x14ac:dyDescent="0.2">
      <c r="A328" s="81"/>
      <c r="B328" s="81"/>
      <c r="C328" s="81"/>
      <c r="D328" s="81"/>
    </row>
    <row r="329" spans="1:4" x14ac:dyDescent="0.2">
      <c r="A329" s="81"/>
      <c r="B329" s="81"/>
      <c r="C329" s="81"/>
      <c r="D329" s="81"/>
    </row>
    <row r="330" spans="1:4" x14ac:dyDescent="0.2">
      <c r="A330" s="81"/>
      <c r="B330" s="81"/>
      <c r="C330" s="81"/>
      <c r="D330" s="81"/>
    </row>
    <row r="331" spans="1:4" x14ac:dyDescent="0.2">
      <c r="A331" s="81"/>
      <c r="B331" s="81"/>
      <c r="C331" s="81"/>
      <c r="D331" s="81"/>
    </row>
    <row r="332" spans="1:4" x14ac:dyDescent="0.2">
      <c r="A332" s="81"/>
      <c r="B332" s="81"/>
      <c r="C332" s="81"/>
      <c r="D332" s="81"/>
    </row>
    <row r="333" spans="1:4" x14ac:dyDescent="0.2">
      <c r="A333" s="81"/>
      <c r="B333" s="81"/>
      <c r="C333" s="81"/>
      <c r="D333" s="81"/>
    </row>
    <row r="334" spans="1:4" x14ac:dyDescent="0.2">
      <c r="A334" s="81"/>
      <c r="B334" s="81"/>
      <c r="C334" s="81"/>
      <c r="D334" s="81"/>
    </row>
    <row r="335" spans="1:4" x14ac:dyDescent="0.2">
      <c r="A335" s="81"/>
      <c r="B335" s="81"/>
      <c r="C335" s="81"/>
      <c r="D335" s="81"/>
    </row>
    <row r="336" spans="1:4" x14ac:dyDescent="0.2">
      <c r="A336" s="81"/>
      <c r="B336" s="81"/>
      <c r="C336" s="81"/>
      <c r="D336" s="81"/>
    </row>
    <row r="337" spans="1:4" x14ac:dyDescent="0.2">
      <c r="A337" s="81"/>
      <c r="B337" s="81"/>
      <c r="C337" s="81"/>
      <c r="D337" s="81"/>
    </row>
    <row r="338" spans="1:4" x14ac:dyDescent="0.2">
      <c r="A338" s="81"/>
      <c r="B338" s="81"/>
      <c r="C338" s="81"/>
      <c r="D338" s="81"/>
    </row>
    <row r="339" spans="1:4" x14ac:dyDescent="0.2">
      <c r="A339" s="81"/>
      <c r="B339" s="81"/>
      <c r="C339" s="81"/>
      <c r="D339" s="81"/>
    </row>
    <row r="340" spans="1:4" x14ac:dyDescent="0.2">
      <c r="A340" s="81"/>
      <c r="B340" s="81"/>
      <c r="C340" s="81"/>
      <c r="D340" s="81"/>
    </row>
    <row r="341" spans="1:4" x14ac:dyDescent="0.2">
      <c r="A341" s="81"/>
      <c r="B341" s="81"/>
      <c r="C341" s="81"/>
      <c r="D341" s="81"/>
    </row>
    <row r="342" spans="1:4" x14ac:dyDescent="0.2">
      <c r="A342" s="81"/>
      <c r="B342" s="81"/>
      <c r="C342" s="81"/>
      <c r="D342" s="81"/>
    </row>
    <row r="343" spans="1:4" x14ac:dyDescent="0.2">
      <c r="A343" s="81"/>
      <c r="B343" s="81"/>
      <c r="C343" s="81"/>
      <c r="D343" s="81"/>
    </row>
    <row r="344" spans="1:4" x14ac:dyDescent="0.2">
      <c r="A344" s="81"/>
      <c r="B344" s="81"/>
      <c r="C344" s="81"/>
      <c r="D344" s="81"/>
    </row>
    <row r="345" spans="1:4" x14ac:dyDescent="0.2">
      <c r="A345" s="81"/>
      <c r="B345" s="81"/>
      <c r="C345" s="81"/>
      <c r="D345" s="81"/>
    </row>
    <row r="346" spans="1:4" x14ac:dyDescent="0.2">
      <c r="A346" s="81"/>
      <c r="B346" s="81"/>
      <c r="C346" s="81"/>
      <c r="D346" s="81"/>
    </row>
    <row r="347" spans="1:4" x14ac:dyDescent="0.2">
      <c r="A347" s="81"/>
      <c r="B347" s="81"/>
      <c r="C347" s="81"/>
      <c r="D347" s="81"/>
    </row>
    <row r="348" spans="1:4" x14ac:dyDescent="0.2">
      <c r="A348" s="81"/>
      <c r="B348" s="81"/>
      <c r="C348" s="81"/>
      <c r="D348" s="81"/>
    </row>
    <row r="349" spans="1:4" x14ac:dyDescent="0.2">
      <c r="A349" s="81"/>
      <c r="B349" s="81"/>
      <c r="C349" s="81"/>
      <c r="D349" s="81"/>
    </row>
    <row r="350" spans="1:4" x14ac:dyDescent="0.2">
      <c r="A350" s="81"/>
      <c r="B350" s="81"/>
      <c r="C350" s="81"/>
      <c r="D350" s="81"/>
    </row>
    <row r="351" spans="1:4" x14ac:dyDescent="0.2">
      <c r="A351" s="81"/>
      <c r="B351" s="81"/>
      <c r="C351" s="81"/>
      <c r="D351" s="81"/>
    </row>
    <row r="352" spans="1:4" x14ac:dyDescent="0.2">
      <c r="A352" s="81"/>
      <c r="B352" s="81"/>
      <c r="C352" s="81"/>
      <c r="D352" s="81"/>
    </row>
    <row r="353" spans="1:4" x14ac:dyDescent="0.2">
      <c r="A353" s="81"/>
      <c r="B353" s="81"/>
      <c r="C353" s="81"/>
      <c r="D353" s="81"/>
    </row>
    <row r="354" spans="1:4" x14ac:dyDescent="0.2">
      <c r="A354" s="81"/>
      <c r="B354" s="81"/>
      <c r="C354" s="81"/>
      <c r="D354" s="81"/>
    </row>
    <row r="355" spans="1:4" x14ac:dyDescent="0.2">
      <c r="A355" s="81"/>
      <c r="B355" s="81"/>
      <c r="C355" s="81"/>
      <c r="D355" s="81"/>
    </row>
    <row r="356" spans="1:4" x14ac:dyDescent="0.2">
      <c r="A356" s="81"/>
      <c r="B356" s="81"/>
      <c r="C356" s="81"/>
      <c r="D356" s="81"/>
    </row>
    <row r="357" spans="1:4" x14ac:dyDescent="0.2">
      <c r="A357" s="81"/>
      <c r="B357" s="81"/>
      <c r="C357" s="81"/>
      <c r="D357" s="81"/>
    </row>
    <row r="358" spans="1:4" x14ac:dyDescent="0.2">
      <c r="A358" s="81"/>
      <c r="B358" s="81"/>
      <c r="C358" s="81"/>
      <c r="D358" s="81"/>
    </row>
    <row r="359" spans="1:4" x14ac:dyDescent="0.2">
      <c r="A359" s="81"/>
      <c r="B359" s="81"/>
      <c r="C359" s="81"/>
      <c r="D359" s="81"/>
    </row>
    <row r="360" spans="1:4" x14ac:dyDescent="0.2">
      <c r="A360" s="81"/>
      <c r="B360" s="81"/>
      <c r="C360" s="81"/>
      <c r="D360" s="81"/>
    </row>
    <row r="361" spans="1:4" x14ac:dyDescent="0.2">
      <c r="A361" s="81"/>
      <c r="B361" s="81"/>
      <c r="C361" s="81"/>
      <c r="D361" s="81"/>
    </row>
    <row r="362" spans="1:4" x14ac:dyDescent="0.2">
      <c r="A362" s="81"/>
      <c r="B362" s="81"/>
      <c r="C362" s="81"/>
      <c r="D362" s="81"/>
    </row>
    <row r="363" spans="1:4" x14ac:dyDescent="0.2">
      <c r="A363" s="81"/>
      <c r="B363" s="81"/>
      <c r="C363" s="81"/>
      <c r="D363" s="81"/>
    </row>
    <row r="364" spans="1:4" x14ac:dyDescent="0.2">
      <c r="A364" s="81"/>
      <c r="B364" s="81"/>
      <c r="C364" s="81"/>
      <c r="D364" s="81"/>
    </row>
    <row r="365" spans="1:4" x14ac:dyDescent="0.2">
      <c r="A365" s="81"/>
      <c r="B365" s="81"/>
      <c r="C365" s="81"/>
      <c r="D365" s="81"/>
    </row>
    <row r="366" spans="1:4" x14ac:dyDescent="0.2">
      <c r="A366" s="81"/>
      <c r="B366" s="81"/>
      <c r="C366" s="81"/>
      <c r="D366" s="81"/>
    </row>
    <row r="367" spans="1:4" x14ac:dyDescent="0.2">
      <c r="A367" s="81"/>
      <c r="B367" s="81"/>
      <c r="C367" s="81"/>
      <c r="D367" s="81"/>
    </row>
    <row r="368" spans="1:4" x14ac:dyDescent="0.2">
      <c r="A368" s="81"/>
      <c r="B368" s="81"/>
      <c r="C368" s="81"/>
      <c r="D368" s="81"/>
    </row>
    <row r="369" spans="1:4" x14ac:dyDescent="0.2">
      <c r="A369" s="81"/>
      <c r="B369" s="81"/>
      <c r="C369" s="81"/>
      <c r="D369" s="81"/>
    </row>
    <row r="370" spans="1:4" x14ac:dyDescent="0.2">
      <c r="A370" s="81"/>
      <c r="B370" s="81"/>
      <c r="C370" s="81"/>
      <c r="D370" s="81"/>
    </row>
    <row r="371" spans="1:4" x14ac:dyDescent="0.2">
      <c r="A371" s="81"/>
      <c r="B371" s="81"/>
      <c r="C371" s="81"/>
      <c r="D371" s="81"/>
    </row>
    <row r="372" spans="1:4" x14ac:dyDescent="0.2">
      <c r="A372" s="81"/>
      <c r="B372" s="81"/>
      <c r="C372" s="81"/>
      <c r="D372" s="81"/>
    </row>
    <row r="373" spans="1:4" x14ac:dyDescent="0.2">
      <c r="A373" s="81"/>
      <c r="B373" s="81"/>
      <c r="C373" s="81"/>
      <c r="D373" s="81"/>
    </row>
    <row r="374" spans="1:4" x14ac:dyDescent="0.2">
      <c r="A374" s="81"/>
      <c r="B374" s="81"/>
      <c r="C374" s="81"/>
      <c r="D374" s="81"/>
    </row>
    <row r="375" spans="1:4" x14ac:dyDescent="0.2">
      <c r="A375" s="81"/>
      <c r="B375" s="81"/>
      <c r="C375" s="81"/>
      <c r="D375" s="81"/>
    </row>
    <row r="376" spans="1:4" x14ac:dyDescent="0.2">
      <c r="A376" s="81"/>
      <c r="B376" s="81"/>
      <c r="C376" s="81"/>
      <c r="D376" s="81"/>
    </row>
    <row r="377" spans="1:4" x14ac:dyDescent="0.2">
      <c r="A377" s="81"/>
      <c r="B377" s="81"/>
      <c r="C377" s="81"/>
      <c r="D377" s="81"/>
    </row>
    <row r="378" spans="1:4" x14ac:dyDescent="0.2">
      <c r="A378" s="81"/>
      <c r="B378" s="81"/>
      <c r="C378" s="81"/>
      <c r="D378" s="81"/>
    </row>
    <row r="379" spans="1:4" x14ac:dyDescent="0.2">
      <c r="A379" s="81"/>
      <c r="B379" s="81"/>
      <c r="C379" s="81"/>
      <c r="D379" s="81"/>
    </row>
    <row r="380" spans="1:4" x14ac:dyDescent="0.2">
      <c r="A380" s="81"/>
      <c r="B380" s="81"/>
      <c r="C380" s="81"/>
      <c r="D380" s="81"/>
    </row>
    <row r="381" spans="1:4" x14ac:dyDescent="0.2">
      <c r="A381" s="81"/>
      <c r="B381" s="81"/>
      <c r="C381" s="81"/>
      <c r="D381" s="81"/>
    </row>
    <row r="382" spans="1:4" x14ac:dyDescent="0.2">
      <c r="A382" s="81"/>
      <c r="B382" s="81"/>
      <c r="C382" s="81"/>
      <c r="D382" s="81"/>
    </row>
    <row r="383" spans="1:4" x14ac:dyDescent="0.2">
      <c r="A383" s="81"/>
      <c r="B383" s="81"/>
      <c r="C383" s="81"/>
      <c r="D383" s="81"/>
    </row>
    <row r="384" spans="1:4" x14ac:dyDescent="0.2">
      <c r="A384" s="81"/>
      <c r="B384" s="81"/>
      <c r="C384" s="81"/>
      <c r="D384" s="81"/>
    </row>
    <row r="385" spans="1:4" x14ac:dyDescent="0.2">
      <c r="A385" s="81"/>
      <c r="B385" s="81"/>
      <c r="C385" s="81"/>
      <c r="D385" s="81"/>
    </row>
    <row r="386" spans="1:4" x14ac:dyDescent="0.2">
      <c r="A386" s="81"/>
      <c r="B386" s="81"/>
      <c r="C386" s="81"/>
      <c r="D386" s="81"/>
    </row>
  </sheetData>
  <mergeCells count="3">
    <mergeCell ref="A2:H2"/>
    <mergeCell ref="A1:H1"/>
    <mergeCell ref="A4:H4"/>
  </mergeCells>
  <printOptions horizontalCentered="1"/>
  <pageMargins left="0.74803149606299213" right="0.74803149606299213" top="0.31496062992125984" bottom="0.98425196850393704" header="0.51181102362204722" footer="0.51181102362204722"/>
  <pageSetup paperSize="9" scale="74" orientation="portrait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75" zoomScaleNormal="75" zoomScaleSheetLayoutView="75" workbookViewId="0">
      <selection sqref="A1:XFD1"/>
    </sheetView>
  </sheetViews>
  <sheetFormatPr defaultRowHeight="20.25" x14ac:dyDescent="0.3"/>
  <cols>
    <col min="1" max="1" width="61" style="824" customWidth="1"/>
    <col min="2" max="2" width="24.140625" style="825" customWidth="1"/>
    <col min="3" max="3" width="28.28515625" style="827" customWidth="1"/>
    <col min="4" max="4" width="103.7109375" style="858" customWidth="1"/>
    <col min="5" max="5" width="13.85546875" style="210" customWidth="1"/>
    <col min="6" max="6" width="14.85546875" style="210" customWidth="1"/>
    <col min="7" max="7" width="12.85546875" style="210" customWidth="1"/>
    <col min="8" max="8" width="13.5703125" style="210" customWidth="1"/>
    <col min="9" max="9" width="20.7109375" style="210" customWidth="1"/>
    <col min="10" max="10" width="18" style="210" customWidth="1"/>
    <col min="11" max="16384" width="9.140625" style="210"/>
  </cols>
  <sheetData>
    <row r="1" spans="1:9" s="502" customFormat="1" ht="35.25" customHeight="1" x14ac:dyDescent="0.2">
      <c r="A1" s="1961" t="str">
        <f>'29.sz.finansz.ütemterv'!A1:H1</f>
        <v>Pilisvörösvár Város Önkormányzata Képviselő-testületének 2/2018. (II. 9.) önkormányzati rendelete</v>
      </c>
      <c r="B1" s="1961"/>
      <c r="C1" s="1961"/>
      <c r="D1" s="1961"/>
      <c r="E1" s="1962"/>
      <c r="F1" s="1962"/>
      <c r="G1" s="1962"/>
      <c r="H1" s="1962"/>
      <c r="I1" s="1962"/>
    </row>
    <row r="2" spans="1:9" ht="28.5" customHeight="1" x14ac:dyDescent="0.3">
      <c r="A2" s="1927" t="str">
        <f>'29.sz.finansz.ütemterv'!A2:H2</f>
        <v>az Önkormányzat  2018. évi költségvetéséről</v>
      </c>
      <c r="B2" s="1927"/>
      <c r="C2" s="1927"/>
      <c r="D2" s="1927"/>
      <c r="E2" s="1049"/>
      <c r="F2" s="1049"/>
      <c r="G2" s="1049"/>
      <c r="H2" s="1049"/>
      <c r="I2" s="1049"/>
    </row>
    <row r="3" spans="1:9" ht="22.5" x14ac:dyDescent="0.3">
      <c r="A3" s="1927"/>
      <c r="B3" s="1927"/>
      <c r="C3" s="1927"/>
      <c r="D3" s="1927"/>
      <c r="E3" s="1927"/>
      <c r="F3" s="1927"/>
      <c r="G3" s="1927"/>
      <c r="H3" s="1927"/>
      <c r="I3" s="1927"/>
    </row>
    <row r="4" spans="1:9" ht="23.25" x14ac:dyDescent="0.35">
      <c r="A4" s="1928" t="str">
        <f>Tartalomjegyzék_2018!B37</f>
        <v>Pilisvörösvár Város Önkormányzata közvetett támogatásai</v>
      </c>
      <c r="B4" s="1928"/>
      <c r="C4" s="1928"/>
      <c r="D4" s="1928"/>
      <c r="E4" s="1050"/>
      <c r="F4" s="1050"/>
      <c r="G4" s="1050"/>
      <c r="H4" s="1050"/>
      <c r="I4" s="1050"/>
    </row>
    <row r="5" spans="1:9" ht="23.25" customHeight="1" x14ac:dyDescent="0.35">
      <c r="C5" s="826"/>
      <c r="D5" s="1034" t="s">
        <v>801</v>
      </c>
    </row>
    <row r="6" spans="1:9" ht="21.75" customHeight="1" thickBot="1" x14ac:dyDescent="0.35">
      <c r="D6" s="1035" t="s">
        <v>329</v>
      </c>
    </row>
    <row r="7" spans="1:9" ht="81" customHeight="1" thickBot="1" x14ac:dyDescent="0.4">
      <c r="A7" s="362" t="s">
        <v>685</v>
      </c>
      <c r="B7" s="363" t="s">
        <v>626</v>
      </c>
      <c r="C7" s="1433" t="s">
        <v>627</v>
      </c>
      <c r="D7" s="365" t="s">
        <v>628</v>
      </c>
      <c r="F7" s="361"/>
    </row>
    <row r="8" spans="1:9" s="828" customFormat="1" ht="59.25" customHeight="1" x14ac:dyDescent="0.35">
      <c r="A8" s="955" t="s">
        <v>916</v>
      </c>
      <c r="B8" s="956"/>
      <c r="C8" s="957">
        <v>0</v>
      </c>
      <c r="D8" s="958" t="s">
        <v>686</v>
      </c>
      <c r="F8" s="829"/>
    </row>
    <row r="9" spans="1:9" s="828" customFormat="1" ht="105.75" customHeight="1" x14ac:dyDescent="0.35">
      <c r="A9" s="955" t="s">
        <v>917</v>
      </c>
      <c r="B9" s="956"/>
      <c r="C9" s="957">
        <v>695</v>
      </c>
      <c r="D9" s="959" t="s">
        <v>687</v>
      </c>
      <c r="F9" s="829"/>
    </row>
    <row r="10" spans="1:9" s="828" customFormat="1" ht="96" customHeight="1" x14ac:dyDescent="0.35">
      <c r="A10" s="955" t="s">
        <v>918</v>
      </c>
      <c r="B10" s="956"/>
      <c r="C10" s="957">
        <v>21</v>
      </c>
      <c r="D10" s="840" t="s">
        <v>906</v>
      </c>
      <c r="F10" s="829"/>
    </row>
    <row r="11" spans="1:9" s="828" customFormat="1" ht="67.5" customHeight="1" x14ac:dyDescent="0.3">
      <c r="A11" s="955" t="s">
        <v>1059</v>
      </c>
      <c r="B11" s="956"/>
      <c r="C11" s="957">
        <v>28965</v>
      </c>
      <c r="D11" s="840" t="s">
        <v>1060</v>
      </c>
    </row>
    <row r="12" spans="1:9" s="828" customFormat="1" ht="33.75" customHeight="1" x14ac:dyDescent="0.3">
      <c r="A12" s="960" t="s">
        <v>688</v>
      </c>
      <c r="B12" s="957">
        <f>85092+C12</f>
        <v>114773</v>
      </c>
      <c r="C12" s="957">
        <f>SUM(C8:C11)</f>
        <v>29681</v>
      </c>
      <c r="D12" s="844"/>
    </row>
    <row r="13" spans="1:9" s="830" customFormat="1" ht="40.5" x14ac:dyDescent="0.3">
      <c r="A13" s="961" t="s">
        <v>583</v>
      </c>
      <c r="B13" s="957">
        <f>55210+C13</f>
        <v>55210</v>
      </c>
      <c r="C13" s="957">
        <v>0</v>
      </c>
      <c r="D13" s="844" t="s">
        <v>1061</v>
      </c>
      <c r="E13" s="828"/>
      <c r="F13" s="828"/>
      <c r="G13" s="828"/>
      <c r="H13" s="828"/>
      <c r="I13" s="828"/>
    </row>
    <row r="14" spans="1:9" s="830" customFormat="1" ht="52.5" customHeight="1" x14ac:dyDescent="0.3">
      <c r="A14" s="961" t="s">
        <v>907</v>
      </c>
      <c r="B14" s="957">
        <f>537947+C14</f>
        <v>537947</v>
      </c>
      <c r="C14" s="957">
        <v>0</v>
      </c>
      <c r="D14" s="844" t="s">
        <v>1062</v>
      </c>
      <c r="E14" s="828"/>
      <c r="F14" s="828"/>
      <c r="G14" s="828"/>
      <c r="H14" s="828"/>
      <c r="I14" s="828"/>
    </row>
    <row r="15" spans="1:9" s="830" customFormat="1" ht="21" thickBot="1" x14ac:dyDescent="0.35">
      <c r="A15" s="831" t="s">
        <v>689</v>
      </c>
      <c r="B15" s="832" t="s">
        <v>1063</v>
      </c>
      <c r="C15" s="833">
        <f>C12+C13+C14</f>
        <v>29681</v>
      </c>
      <c r="D15" s="834"/>
      <c r="E15" s="828"/>
      <c r="F15" s="828"/>
      <c r="G15" s="828"/>
      <c r="H15" s="828"/>
      <c r="I15" s="828"/>
    </row>
    <row r="16" spans="1:9" ht="33.75" customHeight="1" thickBot="1" x14ac:dyDescent="0.35">
      <c r="A16" s="1065"/>
      <c r="B16" s="1066"/>
      <c r="C16" s="1067"/>
      <c r="D16" s="1068"/>
      <c r="E16" s="360"/>
      <c r="G16" s="360"/>
      <c r="H16" s="360"/>
      <c r="I16" s="360"/>
    </row>
    <row r="17" spans="1:4" ht="61.5" thickBot="1" x14ac:dyDescent="0.35">
      <c r="A17" s="362" t="s">
        <v>625</v>
      </c>
      <c r="B17" s="363" t="s">
        <v>626</v>
      </c>
      <c r="C17" s="364" t="s">
        <v>627</v>
      </c>
      <c r="D17" s="365" t="s">
        <v>628</v>
      </c>
    </row>
    <row r="18" spans="1:4" ht="41.25" customHeight="1" thickBot="1" x14ac:dyDescent="0.35">
      <c r="A18" s="831" t="s">
        <v>629</v>
      </c>
      <c r="B18" s="832">
        <v>0</v>
      </c>
      <c r="C18" s="833">
        <v>0</v>
      </c>
      <c r="D18" s="834"/>
    </row>
    <row r="19" spans="1:4" ht="33.75" customHeight="1" thickBot="1" x14ac:dyDescent="0.35">
      <c r="A19" s="1065"/>
      <c r="B19" s="1066"/>
      <c r="C19" s="1067"/>
      <c r="D19" s="1068"/>
    </row>
    <row r="20" spans="1:4" ht="72" customHeight="1" thickBot="1" x14ac:dyDescent="0.35">
      <c r="A20" s="362" t="s">
        <v>637</v>
      </c>
      <c r="B20" s="363" t="s">
        <v>626</v>
      </c>
      <c r="C20" s="364" t="s">
        <v>627</v>
      </c>
      <c r="D20" s="365" t="s">
        <v>628</v>
      </c>
    </row>
    <row r="21" spans="1:4" ht="33" customHeight="1" thickBot="1" x14ac:dyDescent="0.35">
      <c r="A21" s="831" t="s">
        <v>638</v>
      </c>
      <c r="B21" s="832">
        <v>0</v>
      </c>
      <c r="C21" s="833">
        <v>0</v>
      </c>
      <c r="D21" s="835"/>
    </row>
    <row r="22" spans="1:4" ht="33.75" customHeight="1" thickBot="1" x14ac:dyDescent="0.35">
      <c r="A22" s="1065"/>
      <c r="B22" s="1066"/>
      <c r="C22" s="1067"/>
      <c r="D22" s="1068"/>
    </row>
    <row r="23" spans="1:4" ht="61.5" thickBot="1" x14ac:dyDescent="0.35">
      <c r="A23" s="836" t="s">
        <v>639</v>
      </c>
      <c r="B23" s="363" t="s">
        <v>626</v>
      </c>
      <c r="C23" s="364" t="s">
        <v>640</v>
      </c>
      <c r="D23" s="365" t="s">
        <v>628</v>
      </c>
    </row>
    <row r="24" spans="1:4" ht="33.75" customHeight="1" x14ac:dyDescent="0.3">
      <c r="A24" s="837" t="s">
        <v>611</v>
      </c>
      <c r="B24" s="838"/>
      <c r="C24" s="839">
        <v>8</v>
      </c>
      <c r="D24" s="840" t="s">
        <v>641</v>
      </c>
    </row>
    <row r="25" spans="1:4" ht="33.75" customHeight="1" x14ac:dyDescent="0.3">
      <c r="A25" s="841" t="s">
        <v>102</v>
      </c>
      <c r="B25" s="842"/>
      <c r="C25" s="843">
        <v>4</v>
      </c>
      <c r="D25" s="844" t="s">
        <v>642</v>
      </c>
    </row>
    <row r="26" spans="1:4" ht="33.75" customHeight="1" x14ac:dyDescent="0.3">
      <c r="A26" s="845" t="s">
        <v>572</v>
      </c>
      <c r="B26" s="846"/>
      <c r="C26" s="847">
        <v>2710</v>
      </c>
      <c r="D26" s="848" t="s">
        <v>643</v>
      </c>
    </row>
    <row r="27" spans="1:4" ht="33.75" customHeight="1" x14ac:dyDescent="0.3">
      <c r="A27" s="845" t="s">
        <v>756</v>
      </c>
      <c r="B27" s="846"/>
      <c r="C27" s="847">
        <v>0</v>
      </c>
      <c r="D27" s="848"/>
    </row>
    <row r="28" spans="1:4" ht="32.25" customHeight="1" thickBot="1" x14ac:dyDescent="0.35">
      <c r="A28" s="831" t="s">
        <v>644</v>
      </c>
      <c r="B28" s="833">
        <f>SUM(B24:B27)</f>
        <v>0</v>
      </c>
      <c r="C28" s="833">
        <f>SUM(C24:C27)</f>
        <v>2722</v>
      </c>
      <c r="D28" s="835"/>
    </row>
    <row r="29" spans="1:4" ht="29.25" customHeight="1" thickBot="1" x14ac:dyDescent="0.35">
      <c r="A29" s="1065"/>
      <c r="B29" s="1066"/>
      <c r="C29" s="1067"/>
      <c r="D29" s="1068"/>
    </row>
    <row r="30" spans="1:4" ht="76.5" customHeight="1" thickBot="1" x14ac:dyDescent="0.35">
      <c r="A30" s="362" t="s">
        <v>645</v>
      </c>
      <c r="B30" s="363" t="s">
        <v>626</v>
      </c>
      <c r="C30" s="364" t="s">
        <v>627</v>
      </c>
      <c r="D30" s="365" t="s">
        <v>628</v>
      </c>
    </row>
    <row r="31" spans="1:4" ht="38.25" customHeight="1" thickBot="1" x14ac:dyDescent="0.35">
      <c r="A31" s="849" t="s">
        <v>646</v>
      </c>
      <c r="B31" s="850">
        <v>0</v>
      </c>
      <c r="C31" s="851">
        <v>0</v>
      </c>
      <c r="D31" s="852"/>
    </row>
    <row r="32" spans="1:4" ht="37.5" customHeight="1" thickBot="1" x14ac:dyDescent="0.35">
      <c r="A32" s="1061" t="s">
        <v>461</v>
      </c>
      <c r="B32" s="1062">
        <f>SUM(B18,B21,B28,B31)</f>
        <v>0</v>
      </c>
      <c r="C32" s="1063">
        <f>C28+C15</f>
        <v>32403</v>
      </c>
      <c r="D32" s="1064"/>
    </row>
    <row r="33" spans="1:4" x14ac:dyDescent="0.3">
      <c r="A33" s="853"/>
      <c r="B33" s="854"/>
      <c r="C33" s="855"/>
      <c r="D33" s="856"/>
    </row>
    <row r="34" spans="1:4" x14ac:dyDescent="0.3">
      <c r="A34" s="857"/>
      <c r="B34" s="854"/>
      <c r="C34" s="855"/>
      <c r="D34" s="856"/>
    </row>
  </sheetData>
  <mergeCells count="4">
    <mergeCell ref="A1:D1"/>
    <mergeCell ref="A2:D2"/>
    <mergeCell ref="A3:I3"/>
    <mergeCell ref="A4:D4"/>
  </mergeCells>
  <hyperlinks>
    <hyperlink ref="D8" location="_ftn1" display="_ftn1"/>
  </hyperlinks>
  <printOptions horizontalCentered="1"/>
  <pageMargins left="0.25" right="0.25" top="0.75" bottom="0.75" header="0.3" footer="0.3"/>
  <pageSetup paperSize="9" scale="4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M12"/>
  <sheetViews>
    <sheetView view="pageBreakPreview" zoomScaleSheetLayoutView="100" workbookViewId="0">
      <selection sqref="A1:C1"/>
    </sheetView>
  </sheetViews>
  <sheetFormatPr defaultRowHeight="12.75" x14ac:dyDescent="0.2"/>
  <cols>
    <col min="1" max="1" width="7.42578125" style="14" customWidth="1"/>
    <col min="2" max="2" width="45" style="14" customWidth="1"/>
    <col min="3" max="3" width="68.28515625" style="14" customWidth="1"/>
    <col min="4" max="16384" width="9.140625" style="14"/>
  </cols>
  <sheetData>
    <row r="1" spans="1:13" s="1964" customFormat="1" ht="26.25" customHeight="1" x14ac:dyDescent="0.2">
      <c r="A1" s="1931" t="str">
        <f>Tartalomjegyzék_2018!A1</f>
        <v>Pilisvörösvár Város Önkormányzata Képviselő-testületének 2/2018. (II. 9.) önkormányzati rendelete</v>
      </c>
      <c r="B1" s="1931"/>
      <c r="C1" s="1931"/>
      <c r="D1" s="1963"/>
      <c r="E1" s="1963"/>
    </row>
    <row r="2" spans="1:13" ht="18.75" x14ac:dyDescent="0.3">
      <c r="A2" s="1929" t="str">
        <f>Tartalomjegyzék_2018!A2</f>
        <v>az Önkormányzat  2018. évi költségvetéséről</v>
      </c>
      <c r="B2" s="1929"/>
      <c r="C2" s="1929"/>
      <c r="D2" s="242"/>
      <c r="E2" s="242"/>
      <c r="F2" s="86"/>
      <c r="G2" s="86"/>
      <c r="H2" s="86"/>
      <c r="I2" s="86"/>
      <c r="J2" s="87"/>
      <c r="K2" s="87"/>
      <c r="L2" s="87"/>
      <c r="M2" s="87"/>
    </row>
    <row r="3" spans="1:13" ht="15" x14ac:dyDescent="0.25">
      <c r="A3" s="1930"/>
      <c r="B3" s="1930"/>
      <c r="C3" s="1930"/>
      <c r="D3" s="1930"/>
    </row>
    <row r="4" spans="1:13" s="15" customFormat="1" ht="60" customHeight="1" x14ac:dyDescent="0.25">
      <c r="A4" s="1931" t="str">
        <f>Tartalomjegyzék_2018!B38</f>
        <v>A költségvetési év azon fejlesztési céljai, amelyek megvalósításához a Gst. 3. § (1) bekezdése szerinti adósságot keletkeztető ügylet megkötése válik vagy válhat szükségessé</v>
      </c>
      <c r="B4" s="1931"/>
      <c r="C4" s="1931"/>
      <c r="D4" s="100"/>
      <c r="E4" s="100"/>
      <c r="F4" s="100"/>
      <c r="G4" s="100"/>
      <c r="H4" s="100"/>
      <c r="I4" s="100"/>
      <c r="J4" s="100"/>
    </row>
    <row r="5" spans="1:13" s="15" customFormat="1" ht="18.75" customHeight="1" x14ac:dyDescent="0.25">
      <c r="A5" s="243"/>
      <c r="B5" s="243"/>
      <c r="C5" s="687" t="s">
        <v>682</v>
      </c>
      <c r="D5" s="89"/>
    </row>
    <row r="6" spans="1:13" ht="16.5" thickBot="1" x14ac:dyDescent="0.3">
      <c r="A6" s="87"/>
      <c r="B6" s="87"/>
      <c r="C6" s="688" t="s">
        <v>329</v>
      </c>
    </row>
    <row r="7" spans="1:13" s="15" customFormat="1" ht="62.25" customHeight="1" thickBot="1" x14ac:dyDescent="0.3">
      <c r="A7" s="29" t="s">
        <v>40</v>
      </c>
      <c r="B7" s="244" t="s">
        <v>647</v>
      </c>
      <c r="C7" s="45" t="s">
        <v>952</v>
      </c>
    </row>
    <row r="8" spans="1:13" ht="16.5" thickBot="1" x14ac:dyDescent="0.25">
      <c r="A8" s="245">
        <v>1</v>
      </c>
      <c r="B8" s="246" t="s">
        <v>751</v>
      </c>
      <c r="C8" s="689">
        <v>0</v>
      </c>
    </row>
    <row r="9" spans="1:13" ht="16.5" thickBot="1" x14ac:dyDescent="0.25">
      <c r="A9" s="247">
        <v>2</v>
      </c>
      <c r="B9" s="248" t="s">
        <v>151</v>
      </c>
      <c r="C9" s="690">
        <f>SUM(C8:C8)</f>
        <v>0</v>
      </c>
    </row>
    <row r="10" spans="1:13" ht="19.5" customHeight="1" x14ac:dyDescent="0.2">
      <c r="A10" s="87"/>
      <c r="B10" s="87"/>
      <c r="C10" s="87"/>
    </row>
    <row r="11" spans="1:13" s="13" customFormat="1" ht="15" x14ac:dyDescent="0.2"/>
    <row r="12" spans="1:13" s="13" customFormat="1" ht="15" x14ac:dyDescent="0.2"/>
  </sheetData>
  <mergeCells count="4">
    <mergeCell ref="A2:C2"/>
    <mergeCell ref="A3:D3"/>
    <mergeCell ref="A4:C4"/>
    <mergeCell ref="A1:C1"/>
  </mergeCells>
  <phoneticPr fontId="5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view="pageBreakPreview" zoomScaleSheetLayoutView="100" workbookViewId="0">
      <selection sqref="A1:F1"/>
    </sheetView>
  </sheetViews>
  <sheetFormatPr defaultRowHeight="15.75" x14ac:dyDescent="0.25"/>
  <cols>
    <col min="1" max="1" width="69.85546875" style="465" customWidth="1"/>
    <col min="2" max="2" width="9.140625" style="465"/>
    <col min="3" max="3" width="15.5703125" style="465" customWidth="1"/>
    <col min="4" max="5" width="14.140625" style="465" customWidth="1"/>
    <col min="6" max="6" width="14.5703125" style="465" customWidth="1"/>
    <col min="7" max="7" width="14.7109375" style="465" customWidth="1"/>
    <col min="8" max="16384" width="9.140625" style="465"/>
  </cols>
  <sheetData>
    <row r="1" spans="1:6" ht="18.75" customHeight="1" x14ac:dyDescent="0.3">
      <c r="A1" s="1929" t="str">
        <f>'31.sz.adósságszolgálat'!A1:C1</f>
        <v>Pilisvörösvár Város Önkormányzata Képviselő-testületének 2/2018. (II. 9.) önkormányzati rendelete</v>
      </c>
      <c r="B1" s="1929"/>
      <c r="C1" s="1929"/>
      <c r="D1" s="1929"/>
      <c r="E1" s="1929"/>
      <c r="F1" s="1827"/>
    </row>
    <row r="2" spans="1:6" ht="18.75" customHeight="1" x14ac:dyDescent="0.3">
      <c r="A2" s="1929" t="str">
        <f>'31.sz.adósságszolgálat'!A2:C2</f>
        <v>az Önkormányzat  2018. évi költségvetéséről</v>
      </c>
      <c r="B2" s="1929"/>
      <c r="C2" s="1929"/>
      <c r="D2" s="1929"/>
      <c r="E2" s="1929"/>
      <c r="F2" s="1827"/>
    </row>
    <row r="3" spans="1:6" ht="25.5" customHeight="1" x14ac:dyDescent="0.3">
      <c r="A3" s="1929" t="s">
        <v>0</v>
      </c>
      <c r="B3" s="1929"/>
      <c r="C3" s="1929"/>
      <c r="D3" s="1929"/>
      <c r="E3" s="1929"/>
      <c r="F3" s="1827"/>
    </row>
    <row r="4" spans="1:6" ht="32.25" customHeight="1" x14ac:dyDescent="0.3">
      <c r="A4" s="1929" t="s">
        <v>64</v>
      </c>
      <c r="B4" s="1929"/>
      <c r="C4" s="1929"/>
      <c r="D4" s="1929"/>
      <c r="E4" s="1929"/>
      <c r="F4" s="1827"/>
    </row>
    <row r="5" spans="1:6" ht="19.5" x14ac:dyDescent="0.35">
      <c r="A5" s="466"/>
      <c r="B5" s="464"/>
      <c r="C5" s="464"/>
      <c r="D5" s="464"/>
      <c r="E5" s="464"/>
      <c r="F5" s="467" t="s">
        <v>803</v>
      </c>
    </row>
    <row r="6" spans="1:6" ht="19.5" thickBot="1" x14ac:dyDescent="0.35">
      <c r="A6" s="464" t="s">
        <v>659</v>
      </c>
      <c r="B6" s="464"/>
      <c r="C6" s="464"/>
      <c r="D6" s="464"/>
      <c r="E6" s="464"/>
      <c r="F6" s="467" t="s">
        <v>329</v>
      </c>
    </row>
    <row r="7" spans="1:6" ht="32.25" thickBot="1" x14ac:dyDescent="0.3">
      <c r="A7" s="468" t="s">
        <v>369</v>
      </c>
      <c r="B7" s="469" t="s">
        <v>293</v>
      </c>
      <c r="C7" s="700" t="s">
        <v>660</v>
      </c>
      <c r="D7" s="700" t="s">
        <v>636</v>
      </c>
      <c r="E7" s="700" t="s">
        <v>868</v>
      </c>
      <c r="F7" s="700" t="s">
        <v>974</v>
      </c>
    </row>
    <row r="8" spans="1:6" ht="18.75" x14ac:dyDescent="0.3">
      <c r="A8" s="470" t="s">
        <v>295</v>
      </c>
      <c r="B8" s="471" t="s">
        <v>294</v>
      </c>
      <c r="C8" s="691">
        <f>'2.Kiadások_részletes '!L11</f>
        <v>846916</v>
      </c>
      <c r="D8" s="691">
        <f>C8*1.024</f>
        <v>867241.98400000005</v>
      </c>
      <c r="E8" s="691">
        <f t="shared" ref="E8:F8" si="0">D8</f>
        <v>867241.98400000005</v>
      </c>
      <c r="F8" s="691">
        <f t="shared" si="0"/>
        <v>867241.98400000005</v>
      </c>
    </row>
    <row r="9" spans="1:6" ht="18.75" x14ac:dyDescent="0.3">
      <c r="A9" s="472" t="s">
        <v>297</v>
      </c>
      <c r="B9" s="473" t="s">
        <v>296</v>
      </c>
      <c r="C9" s="691">
        <f>'2.Kiadások_részletes '!L12</f>
        <v>171604</v>
      </c>
      <c r="D9" s="691">
        <f t="shared" ref="D9:D11" si="1">C9*1.024</f>
        <v>175722.49600000001</v>
      </c>
      <c r="E9" s="691">
        <f t="shared" ref="E9:F21" si="2">D9</f>
        <v>175722.49600000001</v>
      </c>
      <c r="F9" s="691">
        <f t="shared" si="2"/>
        <v>175722.49600000001</v>
      </c>
    </row>
    <row r="10" spans="1:6" ht="18.75" x14ac:dyDescent="0.3">
      <c r="A10" s="472" t="s">
        <v>299</v>
      </c>
      <c r="B10" s="473" t="s">
        <v>298</v>
      </c>
      <c r="C10" s="691">
        <f>'2.Kiadások_részletes '!L13</f>
        <v>644816.74173999997</v>
      </c>
      <c r="D10" s="691">
        <f t="shared" si="1"/>
        <v>660292.34354176</v>
      </c>
      <c r="E10" s="691">
        <f t="shared" si="2"/>
        <v>660292.34354176</v>
      </c>
      <c r="F10" s="691">
        <f t="shared" si="2"/>
        <v>660292.34354176</v>
      </c>
    </row>
    <row r="11" spans="1:6" ht="18.75" x14ac:dyDescent="0.3">
      <c r="A11" s="474" t="s">
        <v>38</v>
      </c>
      <c r="B11" s="473" t="s">
        <v>300</v>
      </c>
      <c r="C11" s="691">
        <f>'2.Kiadások_részletes '!L14</f>
        <v>19450</v>
      </c>
      <c r="D11" s="691">
        <f t="shared" si="1"/>
        <v>19916.8</v>
      </c>
      <c r="E11" s="691">
        <f t="shared" si="2"/>
        <v>19916.8</v>
      </c>
      <c r="F11" s="691">
        <f t="shared" si="2"/>
        <v>19916.8</v>
      </c>
    </row>
    <row r="12" spans="1:6" ht="18.75" x14ac:dyDescent="0.3">
      <c r="A12" s="474" t="s">
        <v>308</v>
      </c>
      <c r="B12" s="473" t="s">
        <v>307</v>
      </c>
      <c r="C12" s="692">
        <f>'2.Kiadások_részletes '!L19</f>
        <v>274529.31299999997</v>
      </c>
      <c r="D12" s="691">
        <f>C12*1.024-897</f>
        <v>280221.01651199994</v>
      </c>
      <c r="E12" s="691">
        <f t="shared" si="2"/>
        <v>280221.01651199994</v>
      </c>
      <c r="F12" s="691">
        <f t="shared" si="2"/>
        <v>280221.01651199994</v>
      </c>
    </row>
    <row r="13" spans="1:6" ht="18.75" x14ac:dyDescent="0.3">
      <c r="A13" s="475" t="s">
        <v>330</v>
      </c>
      <c r="B13" s="476"/>
      <c r="C13" s="693">
        <f>SUM(C8:C12)</f>
        <v>1957316.0547400001</v>
      </c>
      <c r="D13" s="693">
        <f t="shared" ref="D13:F13" si="3">SUM(D8:D12)</f>
        <v>2003394.64005376</v>
      </c>
      <c r="E13" s="693">
        <f t="shared" si="3"/>
        <v>2003394.64005376</v>
      </c>
      <c r="F13" s="693">
        <f t="shared" si="3"/>
        <v>2003394.64005376</v>
      </c>
    </row>
    <row r="14" spans="1:6" ht="18.75" x14ac:dyDescent="0.3">
      <c r="A14" s="477" t="s">
        <v>452</v>
      </c>
      <c r="B14" s="473" t="s">
        <v>309</v>
      </c>
      <c r="C14" s="692">
        <f>'2.Kiadások_részletes '!L21</f>
        <v>295900</v>
      </c>
      <c r="D14" s="691">
        <v>200000</v>
      </c>
      <c r="E14" s="691">
        <f t="shared" si="2"/>
        <v>200000</v>
      </c>
      <c r="F14" s="691">
        <f t="shared" si="2"/>
        <v>200000</v>
      </c>
    </row>
    <row r="15" spans="1:6" ht="18.75" x14ac:dyDescent="0.3">
      <c r="A15" s="474" t="s">
        <v>311</v>
      </c>
      <c r="B15" s="473" t="s">
        <v>310</v>
      </c>
      <c r="C15" s="692">
        <f>'2.Kiadások_részletes '!L22</f>
        <v>42263</v>
      </c>
      <c r="D15" s="691">
        <f>20000+19456</f>
        <v>39456</v>
      </c>
      <c r="E15" s="691">
        <f t="shared" si="2"/>
        <v>39456</v>
      </c>
      <c r="F15" s="691">
        <f t="shared" si="2"/>
        <v>39456</v>
      </c>
    </row>
    <row r="16" spans="1:6" ht="18.75" x14ac:dyDescent="0.3">
      <c r="A16" s="474" t="s">
        <v>315</v>
      </c>
      <c r="B16" s="473" t="s">
        <v>314</v>
      </c>
      <c r="C16" s="692">
        <f>'2.Kiadások_részletes '!N25</f>
        <v>7846</v>
      </c>
      <c r="D16" s="691">
        <v>0</v>
      </c>
      <c r="E16" s="691">
        <f t="shared" si="2"/>
        <v>0</v>
      </c>
      <c r="F16" s="691">
        <f t="shared" si="2"/>
        <v>0</v>
      </c>
    </row>
    <row r="17" spans="1:24" ht="18.75" x14ac:dyDescent="0.3">
      <c r="A17" s="475" t="s">
        <v>331</v>
      </c>
      <c r="B17" s="478"/>
      <c r="C17" s="693">
        <f>SUM(C14:C16)</f>
        <v>346009</v>
      </c>
      <c r="D17" s="693">
        <f t="shared" ref="D17:F17" si="4">SUM(D14:D16)</f>
        <v>239456</v>
      </c>
      <c r="E17" s="693">
        <f t="shared" si="4"/>
        <v>239456</v>
      </c>
      <c r="F17" s="693">
        <f t="shared" si="4"/>
        <v>239456</v>
      </c>
    </row>
    <row r="18" spans="1:24" ht="18.75" x14ac:dyDescent="0.3">
      <c r="A18" s="479" t="s">
        <v>317</v>
      </c>
      <c r="B18" s="480" t="s">
        <v>316</v>
      </c>
      <c r="C18" s="694">
        <f>C17+C13</f>
        <v>2303325.0547400001</v>
      </c>
      <c r="D18" s="694">
        <f t="shared" ref="D18:F18" si="5">D17+D13</f>
        <v>2242850.6400537603</v>
      </c>
      <c r="E18" s="694">
        <f t="shared" si="5"/>
        <v>2242850.6400537603</v>
      </c>
      <c r="F18" s="694">
        <f t="shared" si="5"/>
        <v>2242850.6400537603</v>
      </c>
    </row>
    <row r="19" spans="1:24" ht="18.75" x14ac:dyDescent="0.3">
      <c r="A19" s="481" t="s">
        <v>323</v>
      </c>
      <c r="B19" s="482" t="s">
        <v>322</v>
      </c>
      <c r="C19" s="1446">
        <f>'2.Kiadások_részletes '!L30+'2.Kiadások_részletes '!L32</f>
        <v>22756</v>
      </c>
      <c r="D19" s="691">
        <f t="shared" ref="D19" si="6">C19*1.024</f>
        <v>23302.144</v>
      </c>
      <c r="E19" s="691">
        <f t="shared" si="2"/>
        <v>23302.144</v>
      </c>
      <c r="F19" s="691">
        <f t="shared" si="2"/>
        <v>23302.144</v>
      </c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  <c r="V19" s="483"/>
      <c r="W19" s="484"/>
      <c r="X19" s="484"/>
    </row>
    <row r="20" spans="1:24" ht="18.75" x14ac:dyDescent="0.3">
      <c r="A20" s="481" t="s">
        <v>325</v>
      </c>
      <c r="B20" s="482" t="s">
        <v>324</v>
      </c>
      <c r="C20" s="695"/>
      <c r="D20" s="691">
        <f>C20</f>
        <v>0</v>
      </c>
      <c r="E20" s="691">
        <f t="shared" si="2"/>
        <v>0</v>
      </c>
      <c r="F20" s="691">
        <f t="shared" si="2"/>
        <v>0</v>
      </c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  <c r="V20" s="483"/>
      <c r="W20" s="484"/>
      <c r="X20" s="484"/>
    </row>
    <row r="21" spans="1:24" ht="18.75" x14ac:dyDescent="0.3">
      <c r="A21" s="485" t="s">
        <v>327</v>
      </c>
      <c r="B21" s="486" t="s">
        <v>326</v>
      </c>
      <c r="C21" s="695"/>
      <c r="D21" s="691">
        <f>C21</f>
        <v>0</v>
      </c>
      <c r="E21" s="691">
        <f t="shared" si="2"/>
        <v>0</v>
      </c>
      <c r="F21" s="691">
        <f t="shared" si="2"/>
        <v>0</v>
      </c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4"/>
      <c r="X21" s="484"/>
    </row>
    <row r="22" spans="1:24" ht="19.5" thickBot="1" x14ac:dyDescent="0.35">
      <c r="A22" s="488" t="s">
        <v>41</v>
      </c>
      <c r="B22" s="489" t="s">
        <v>328</v>
      </c>
      <c r="C22" s="696">
        <f>SUM(C19:C21)</f>
        <v>22756</v>
      </c>
      <c r="D22" s="696">
        <f t="shared" ref="D22:F22" si="7">SUM(D19:D21)</f>
        <v>23302.144</v>
      </c>
      <c r="E22" s="696">
        <f t="shared" si="7"/>
        <v>23302.144</v>
      </c>
      <c r="F22" s="696">
        <f t="shared" si="7"/>
        <v>23302.144</v>
      </c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4"/>
      <c r="X22" s="484"/>
    </row>
    <row r="23" spans="1:24" ht="19.5" thickBot="1" x14ac:dyDescent="0.35">
      <c r="A23" s="490" t="s">
        <v>352</v>
      </c>
      <c r="B23" s="491"/>
      <c r="C23" s="697">
        <f>C22+C18</f>
        <v>2326081.0547400001</v>
      </c>
      <c r="D23" s="697">
        <f t="shared" ref="D23:F23" si="8">D22+D18</f>
        <v>2266152.7840537601</v>
      </c>
      <c r="E23" s="697">
        <f t="shared" si="8"/>
        <v>2266152.7840537601</v>
      </c>
      <c r="F23" s="697">
        <f t="shared" si="8"/>
        <v>2266152.7840537601</v>
      </c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</row>
    <row r="24" spans="1:24" x14ac:dyDescent="0.25"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</row>
    <row r="25" spans="1:24" ht="18.75" x14ac:dyDescent="0.3">
      <c r="A25" s="1929" t="s">
        <v>63</v>
      </c>
      <c r="B25" s="1929"/>
      <c r="C25" s="1929"/>
      <c r="D25" s="1929"/>
      <c r="E25" s="1929"/>
      <c r="F25" s="1827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</row>
    <row r="26" spans="1:24" ht="19.5" x14ac:dyDescent="0.35">
      <c r="A26" s="466"/>
      <c r="B26" s="464"/>
      <c r="C26" s="464"/>
      <c r="D26" s="464"/>
      <c r="E26" s="464"/>
      <c r="F26" s="492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  <c r="W26" s="484"/>
      <c r="X26" s="484"/>
    </row>
    <row r="27" spans="1:24" ht="19.5" thickBot="1" x14ac:dyDescent="0.35">
      <c r="A27" s="464" t="s">
        <v>659</v>
      </c>
      <c r="B27" s="464"/>
      <c r="C27" s="464"/>
      <c r="D27" s="464"/>
      <c r="E27" s="464"/>
      <c r="F27" s="467" t="s">
        <v>329</v>
      </c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</row>
    <row r="28" spans="1:24" ht="32.25" thickBot="1" x14ac:dyDescent="0.3">
      <c r="A28" s="468" t="s">
        <v>369</v>
      </c>
      <c r="B28" s="469" t="s">
        <v>370</v>
      </c>
      <c r="C28" s="700" t="s">
        <v>660</v>
      </c>
      <c r="D28" s="700" t="s">
        <v>636</v>
      </c>
      <c r="E28" s="700" t="s">
        <v>868</v>
      </c>
      <c r="F28" s="700" t="s">
        <v>974</v>
      </c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84"/>
      <c r="T28" s="484"/>
      <c r="U28" s="484"/>
      <c r="V28" s="484"/>
      <c r="W28" s="484"/>
      <c r="X28" s="484"/>
    </row>
    <row r="29" spans="1:24" ht="18.75" x14ac:dyDescent="0.3">
      <c r="A29" s="493" t="s">
        <v>384</v>
      </c>
      <c r="B29" s="494" t="s">
        <v>385</v>
      </c>
      <c r="C29" s="691">
        <f>'2.Bevételek_részletes'!L10</f>
        <v>946744.55617500003</v>
      </c>
      <c r="D29" s="691">
        <f>C29*1.024</f>
        <v>969466.42552320007</v>
      </c>
      <c r="E29" s="691">
        <f t="shared" ref="E29:F47" si="9">D29</f>
        <v>969466.42552320007</v>
      </c>
      <c r="F29" s="691">
        <f t="shared" si="9"/>
        <v>969466.42552320007</v>
      </c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</row>
    <row r="30" spans="1:24" ht="18.75" x14ac:dyDescent="0.3">
      <c r="A30" s="472" t="s">
        <v>393</v>
      </c>
      <c r="B30" s="495" t="s">
        <v>394</v>
      </c>
      <c r="C30" s="692">
        <f>'2.Bevételek_részletes'!L16</f>
        <v>677188</v>
      </c>
      <c r="D30" s="691">
        <f t="shared" ref="D30:D36" si="10">C30*1.024</f>
        <v>693440.51199999999</v>
      </c>
      <c r="E30" s="691">
        <f t="shared" si="9"/>
        <v>693440.51199999999</v>
      </c>
      <c r="F30" s="691">
        <f t="shared" si="9"/>
        <v>693440.51199999999</v>
      </c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</row>
    <row r="31" spans="1:24" ht="18.75" x14ac:dyDescent="0.3">
      <c r="A31" s="474" t="s">
        <v>409</v>
      </c>
      <c r="B31" s="495" t="s">
        <v>410</v>
      </c>
      <c r="C31" s="692">
        <f>'2.Bevételek_részletes'!L25</f>
        <v>328678.32435999997</v>
      </c>
      <c r="D31" s="691">
        <f t="shared" si="10"/>
        <v>336566.60414463998</v>
      </c>
      <c r="E31" s="691">
        <f t="shared" si="9"/>
        <v>336566.60414463998</v>
      </c>
      <c r="F31" s="691">
        <f t="shared" si="9"/>
        <v>336566.60414463998</v>
      </c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84"/>
      <c r="T31" s="484"/>
      <c r="U31" s="484"/>
      <c r="V31" s="484"/>
      <c r="W31" s="484"/>
      <c r="X31" s="484"/>
    </row>
    <row r="32" spans="1:24" ht="18.75" x14ac:dyDescent="0.3">
      <c r="A32" s="472" t="s">
        <v>419</v>
      </c>
      <c r="B32" s="495" t="s">
        <v>420</v>
      </c>
      <c r="C32" s="692">
        <f>'2.Bevételek_részletes'!L30</f>
        <v>0</v>
      </c>
      <c r="D32" s="691">
        <f t="shared" si="10"/>
        <v>0</v>
      </c>
      <c r="E32" s="691">
        <f t="shared" si="9"/>
        <v>0</v>
      </c>
      <c r="F32" s="691">
        <f t="shared" si="9"/>
        <v>0</v>
      </c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84"/>
      <c r="T32" s="484"/>
      <c r="U32" s="484"/>
      <c r="V32" s="484"/>
      <c r="W32" s="484"/>
      <c r="X32" s="484"/>
    </row>
    <row r="33" spans="1:24" ht="18.75" x14ac:dyDescent="0.3">
      <c r="A33" s="475" t="s">
        <v>98</v>
      </c>
      <c r="B33" s="496"/>
      <c r="C33" s="693">
        <f>SUM(C29:C32)</f>
        <v>1952610.880535</v>
      </c>
      <c r="D33" s="693">
        <f t="shared" ref="D33:F33" si="11">SUM(D29:D32)</f>
        <v>1999473.5416678402</v>
      </c>
      <c r="E33" s="693">
        <f t="shared" si="11"/>
        <v>1999473.5416678402</v>
      </c>
      <c r="F33" s="693">
        <f t="shared" si="11"/>
        <v>1999473.5416678402</v>
      </c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</row>
    <row r="34" spans="1:24" ht="18.75" x14ac:dyDescent="0.3">
      <c r="A34" s="472" t="s">
        <v>388</v>
      </c>
      <c r="B34" s="495" t="s">
        <v>389</v>
      </c>
      <c r="C34" s="692">
        <f>'2.Bevételek_részletes'!L12</f>
        <v>0</v>
      </c>
      <c r="D34" s="691">
        <f t="shared" si="10"/>
        <v>0</v>
      </c>
      <c r="E34" s="691">
        <f t="shared" si="9"/>
        <v>0</v>
      </c>
      <c r="F34" s="691">
        <f t="shared" si="9"/>
        <v>0</v>
      </c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</row>
    <row r="35" spans="1:24" ht="18.75" x14ac:dyDescent="0.3">
      <c r="A35" s="472" t="s">
        <v>415</v>
      </c>
      <c r="B35" s="495" t="s">
        <v>416</v>
      </c>
      <c r="C35" s="692">
        <f>'2.Bevételek_részletes'!L28</f>
        <v>15750</v>
      </c>
      <c r="D35" s="691">
        <f t="shared" si="10"/>
        <v>16128</v>
      </c>
      <c r="E35" s="691">
        <f t="shared" si="9"/>
        <v>16128</v>
      </c>
      <c r="F35" s="691">
        <f t="shared" si="9"/>
        <v>16128</v>
      </c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</row>
    <row r="36" spans="1:24" ht="18.75" x14ac:dyDescent="0.3">
      <c r="A36" s="472" t="s">
        <v>425</v>
      </c>
      <c r="B36" s="495" t="s">
        <v>426</v>
      </c>
      <c r="C36" s="692">
        <f>'2.Bevételek_részletes'!L33</f>
        <v>538</v>
      </c>
      <c r="D36" s="691">
        <f t="shared" si="10"/>
        <v>550.91200000000003</v>
      </c>
      <c r="E36" s="691">
        <f t="shared" si="9"/>
        <v>550.91200000000003</v>
      </c>
      <c r="F36" s="691">
        <f t="shared" si="9"/>
        <v>550.91200000000003</v>
      </c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</row>
    <row r="37" spans="1:24" ht="18.75" x14ac:dyDescent="0.3">
      <c r="A37" s="475" t="s">
        <v>99</v>
      </c>
      <c r="B37" s="496"/>
      <c r="C37" s="693">
        <f>SUM(C34:C36)</f>
        <v>16288</v>
      </c>
      <c r="D37" s="693">
        <f t="shared" ref="D37:F37" si="12">SUM(D34:D36)</f>
        <v>16678.912</v>
      </c>
      <c r="E37" s="693">
        <f t="shared" si="12"/>
        <v>16678.912</v>
      </c>
      <c r="F37" s="693">
        <f t="shared" si="12"/>
        <v>16678.912</v>
      </c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</row>
    <row r="38" spans="1:24" ht="18.75" x14ac:dyDescent="0.3">
      <c r="A38" s="497" t="s">
        <v>427</v>
      </c>
      <c r="B38" s="498" t="s">
        <v>428</v>
      </c>
      <c r="C38" s="694">
        <f>C33+C37</f>
        <v>1968898.880535</v>
      </c>
      <c r="D38" s="694">
        <f>D33+D37+1</f>
        <v>2016153.4536678402</v>
      </c>
      <c r="E38" s="694">
        <f>E33+E37+1</f>
        <v>2016153.4536678402</v>
      </c>
      <c r="F38" s="694">
        <f>F33+F37+1</f>
        <v>2016153.4536678402</v>
      </c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</row>
    <row r="39" spans="1:24" ht="18.75" x14ac:dyDescent="0.25">
      <c r="A39" s="499" t="s">
        <v>657</v>
      </c>
      <c r="B39" s="500"/>
      <c r="C39" s="698">
        <f>C33-C13</f>
        <v>-4705.1742050000466</v>
      </c>
      <c r="D39" s="698">
        <f t="shared" ref="D39:F39" si="13">D33-D13</f>
        <v>-3921.0983859198168</v>
      </c>
      <c r="E39" s="698">
        <f t="shared" si="13"/>
        <v>-3921.0983859198168</v>
      </c>
      <c r="F39" s="698">
        <f t="shared" si="13"/>
        <v>-3921.0983859198168</v>
      </c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</row>
    <row r="40" spans="1:24" ht="18.75" x14ac:dyDescent="0.25">
      <c r="A40" s="499" t="s">
        <v>658</v>
      </c>
      <c r="B40" s="500"/>
      <c r="C40" s="698">
        <f>C37-C17</f>
        <v>-329721</v>
      </c>
      <c r="D40" s="698">
        <f t="shared" ref="D40:F40" si="14">D37-D17</f>
        <v>-222777.08799999999</v>
      </c>
      <c r="E40" s="698">
        <f t="shared" si="14"/>
        <v>-222777.08799999999</v>
      </c>
      <c r="F40" s="698">
        <f t="shared" si="14"/>
        <v>-222777.08799999999</v>
      </c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</row>
    <row r="41" spans="1:24" ht="18.75" x14ac:dyDescent="0.3">
      <c r="A41" s="474" t="s">
        <v>433</v>
      </c>
      <c r="B41" s="482" t="s">
        <v>434</v>
      </c>
      <c r="C41" s="692">
        <f>'2.Bevételek_részletes'!L39</f>
        <v>0</v>
      </c>
      <c r="D41" s="691">
        <f>C41</f>
        <v>0</v>
      </c>
      <c r="E41" s="691">
        <f t="shared" si="9"/>
        <v>0</v>
      </c>
      <c r="F41" s="691">
        <f t="shared" si="9"/>
        <v>0</v>
      </c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</row>
    <row r="42" spans="1:24" ht="18.75" x14ac:dyDescent="0.3">
      <c r="A42" s="481" t="s">
        <v>648</v>
      </c>
      <c r="B42" s="482" t="s">
        <v>649</v>
      </c>
      <c r="C42" s="692">
        <v>150000</v>
      </c>
      <c r="D42" s="691">
        <f t="shared" ref="D42" si="15">C42</f>
        <v>150000</v>
      </c>
      <c r="E42" s="691">
        <f t="shared" ref="E42:E43" si="16">D42</f>
        <v>150000</v>
      </c>
      <c r="F42" s="691">
        <f t="shared" ref="F42:F43" si="17">E42</f>
        <v>150000</v>
      </c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</row>
    <row r="43" spans="1:24" ht="18.75" x14ac:dyDescent="0.3">
      <c r="A43" s="472" t="s">
        <v>438</v>
      </c>
      <c r="B43" s="482" t="s">
        <v>439</v>
      </c>
      <c r="C43" s="692">
        <f>'2.Bevételek_részletes'!L43</f>
        <v>207182</v>
      </c>
      <c r="D43" s="691">
        <v>100000</v>
      </c>
      <c r="E43" s="691">
        <f t="shared" si="16"/>
        <v>100000</v>
      </c>
      <c r="F43" s="691">
        <f t="shared" si="17"/>
        <v>100000</v>
      </c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</row>
    <row r="44" spans="1:24" ht="18.75" x14ac:dyDescent="0.3">
      <c r="A44" s="472" t="s">
        <v>521</v>
      </c>
      <c r="B44" s="482" t="s">
        <v>441</v>
      </c>
      <c r="C44" s="692"/>
      <c r="D44" s="691">
        <f>C44</f>
        <v>0</v>
      </c>
      <c r="E44" s="691">
        <f t="shared" si="9"/>
        <v>0</v>
      </c>
      <c r="F44" s="691">
        <f t="shared" si="9"/>
        <v>0</v>
      </c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</row>
    <row r="45" spans="1:24" ht="18.75" x14ac:dyDescent="0.3">
      <c r="A45" s="474" t="s">
        <v>444</v>
      </c>
      <c r="B45" s="482" t="s">
        <v>445</v>
      </c>
      <c r="C45" s="699">
        <f>SUM(C41:C44)</f>
        <v>357182</v>
      </c>
      <c r="D45" s="699">
        <f t="shared" ref="D45:F45" si="18">SUM(D41:D44)</f>
        <v>250000</v>
      </c>
      <c r="E45" s="699">
        <f t="shared" si="18"/>
        <v>250000</v>
      </c>
      <c r="F45" s="699">
        <f t="shared" si="18"/>
        <v>250000</v>
      </c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</row>
    <row r="46" spans="1:24" ht="18.75" x14ac:dyDescent="0.3">
      <c r="A46" s="481" t="s">
        <v>650</v>
      </c>
      <c r="B46" s="482" t="s">
        <v>651</v>
      </c>
      <c r="C46" s="692"/>
      <c r="D46" s="691">
        <f>C46</f>
        <v>0</v>
      </c>
      <c r="E46" s="691">
        <f t="shared" si="9"/>
        <v>0</v>
      </c>
      <c r="F46" s="691">
        <f t="shared" si="9"/>
        <v>0</v>
      </c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</row>
    <row r="47" spans="1:24" ht="18.75" x14ac:dyDescent="0.3">
      <c r="A47" s="474" t="s">
        <v>446</v>
      </c>
      <c r="B47" s="482" t="s">
        <v>447</v>
      </c>
      <c r="C47" s="692"/>
      <c r="D47" s="691">
        <f>C47</f>
        <v>0</v>
      </c>
      <c r="E47" s="691">
        <f t="shared" si="9"/>
        <v>0</v>
      </c>
      <c r="F47" s="691">
        <f t="shared" si="9"/>
        <v>0</v>
      </c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4"/>
      <c r="U47" s="484"/>
      <c r="V47" s="484"/>
      <c r="W47" s="484"/>
      <c r="X47" s="484"/>
    </row>
    <row r="48" spans="1:24" ht="19.5" thickBot="1" x14ac:dyDescent="0.35">
      <c r="A48" s="488" t="s">
        <v>448</v>
      </c>
      <c r="B48" s="489" t="s">
        <v>449</v>
      </c>
      <c r="C48" s="696">
        <f>C45+C46+C47</f>
        <v>357182</v>
      </c>
      <c r="D48" s="696">
        <f t="shared" ref="D48:F48" si="19">D45+D46+D47</f>
        <v>250000</v>
      </c>
      <c r="E48" s="696">
        <f t="shared" si="19"/>
        <v>250000</v>
      </c>
      <c r="F48" s="696">
        <f t="shared" si="19"/>
        <v>250000</v>
      </c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</row>
    <row r="49" spans="1:24" ht="19.5" thickBot="1" x14ac:dyDescent="0.35">
      <c r="A49" s="490" t="s">
        <v>362</v>
      </c>
      <c r="B49" s="491"/>
      <c r="C49" s="697">
        <f>C48+C38</f>
        <v>2326080.880535</v>
      </c>
      <c r="D49" s="697">
        <f>D48+D38</f>
        <v>2266153.45366784</v>
      </c>
      <c r="E49" s="697">
        <f t="shared" ref="E49:F49" si="20">E48+E38</f>
        <v>2266153.45366784</v>
      </c>
      <c r="F49" s="697">
        <f t="shared" si="20"/>
        <v>2266153.45366784</v>
      </c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</row>
    <row r="50" spans="1:24" x14ac:dyDescent="0.25">
      <c r="B50" s="484"/>
      <c r="C50" s="501"/>
      <c r="D50" s="501"/>
      <c r="E50" s="501"/>
      <c r="F50" s="484"/>
      <c r="G50" s="484"/>
      <c r="H50" s="484"/>
      <c r="I50" s="484"/>
      <c r="J50" s="484"/>
      <c r="K50" s="484"/>
      <c r="L50" s="484"/>
      <c r="M50" s="484"/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</row>
    <row r="51" spans="1:24" x14ac:dyDescent="0.25">
      <c r="B51" s="484"/>
      <c r="C51" s="501"/>
      <c r="D51" s="501"/>
      <c r="E51" s="501"/>
      <c r="F51" s="501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</row>
    <row r="52" spans="1:24" x14ac:dyDescent="0.25">
      <c r="B52" s="484"/>
      <c r="C52" s="501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  <c r="V52" s="484"/>
      <c r="W52" s="484"/>
      <c r="X52" s="484"/>
    </row>
    <row r="53" spans="1:24" x14ac:dyDescent="0.25">
      <c r="B53" s="484"/>
      <c r="C53" s="501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</row>
    <row r="54" spans="1:24" x14ac:dyDescent="0.25">
      <c r="B54" s="484"/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  <c r="V54" s="484"/>
      <c r="W54" s="484"/>
      <c r="X54" s="484"/>
    </row>
    <row r="55" spans="1:24" x14ac:dyDescent="0.25"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</row>
    <row r="56" spans="1:24" x14ac:dyDescent="0.25">
      <c r="B56" s="484"/>
      <c r="C56" s="484"/>
      <c r="D56" s="484"/>
      <c r="E56" s="484"/>
      <c r="F56" s="484"/>
      <c r="G56" s="484"/>
      <c r="H56" s="484"/>
      <c r="I56" s="484"/>
      <c r="J56" s="484"/>
      <c r="K56" s="484"/>
      <c r="L56" s="484"/>
      <c r="M56" s="484"/>
      <c r="N56" s="484"/>
      <c r="O56" s="484"/>
      <c r="P56" s="484"/>
      <c r="Q56" s="484"/>
      <c r="R56" s="484"/>
      <c r="S56" s="484"/>
      <c r="T56" s="484"/>
      <c r="U56" s="484"/>
      <c r="V56" s="484"/>
      <c r="W56" s="484"/>
      <c r="X56" s="484"/>
    </row>
    <row r="57" spans="1:24" x14ac:dyDescent="0.25">
      <c r="B57" s="484"/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484"/>
      <c r="R57" s="484"/>
      <c r="S57" s="484"/>
      <c r="T57" s="484"/>
      <c r="U57" s="484"/>
      <c r="V57" s="484"/>
      <c r="W57" s="484"/>
      <c r="X57" s="484"/>
    </row>
    <row r="58" spans="1:24" x14ac:dyDescent="0.25">
      <c r="B58" s="484"/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  <c r="X58" s="484"/>
    </row>
    <row r="59" spans="1:24" x14ac:dyDescent="0.25">
      <c r="B59" s="484"/>
      <c r="C59" s="484"/>
      <c r="D59" s="484"/>
      <c r="E59" s="484"/>
      <c r="F59" s="484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</row>
    <row r="60" spans="1:24" x14ac:dyDescent="0.25"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  <c r="X60" s="484"/>
    </row>
    <row r="61" spans="1:24" x14ac:dyDescent="0.25">
      <c r="B61" s="484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</row>
    <row r="62" spans="1:24" x14ac:dyDescent="0.25">
      <c r="B62" s="484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4"/>
      <c r="O62" s="484"/>
      <c r="P62" s="484"/>
      <c r="Q62" s="484"/>
      <c r="R62" s="484"/>
      <c r="S62" s="484"/>
      <c r="T62" s="484"/>
      <c r="U62" s="484"/>
      <c r="V62" s="484"/>
      <c r="W62" s="484"/>
      <c r="X62" s="484"/>
    </row>
    <row r="63" spans="1:24" x14ac:dyDescent="0.25">
      <c r="B63" s="484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484"/>
      <c r="P63" s="484"/>
      <c r="Q63" s="484"/>
      <c r="R63" s="484"/>
      <c r="S63" s="484"/>
      <c r="T63" s="484"/>
      <c r="U63" s="484"/>
      <c r="V63" s="484"/>
      <c r="W63" s="484"/>
      <c r="X63" s="484"/>
    </row>
    <row r="64" spans="1:24" x14ac:dyDescent="0.25">
      <c r="B64" s="484"/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484"/>
      <c r="O64" s="484"/>
      <c r="P64" s="484"/>
      <c r="Q64" s="484"/>
      <c r="R64" s="484"/>
      <c r="S64" s="484"/>
      <c r="T64" s="484"/>
      <c r="U64" s="484"/>
      <c r="V64" s="484"/>
      <c r="W64" s="484"/>
      <c r="X64" s="484"/>
    </row>
    <row r="65" spans="2:24" x14ac:dyDescent="0.25">
      <c r="B65" s="484"/>
      <c r="C65" s="484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</row>
    <row r="66" spans="2:24" x14ac:dyDescent="0.25">
      <c r="B66" s="484"/>
      <c r="C66" s="484"/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  <c r="X66" s="484"/>
    </row>
    <row r="67" spans="2:24" x14ac:dyDescent="0.25">
      <c r="B67" s="484"/>
      <c r="C67" s="484"/>
      <c r="D67" s="484"/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</row>
    <row r="68" spans="2:24" x14ac:dyDescent="0.25">
      <c r="B68" s="484"/>
      <c r="C68" s="484"/>
      <c r="D68" s="484"/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484"/>
      <c r="U68" s="484"/>
      <c r="V68" s="484"/>
      <c r="W68" s="484"/>
      <c r="X68" s="484"/>
    </row>
    <row r="69" spans="2:24" x14ac:dyDescent="0.25">
      <c r="B69" s="484"/>
      <c r="C69" s="484"/>
      <c r="D69" s="484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  <c r="V69" s="484"/>
      <c r="W69" s="484"/>
      <c r="X69" s="484"/>
    </row>
    <row r="70" spans="2:24" x14ac:dyDescent="0.25"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</row>
    <row r="71" spans="2:24" x14ac:dyDescent="0.25">
      <c r="B71" s="484"/>
      <c r="C71" s="484"/>
      <c r="D71" s="484"/>
      <c r="E71" s="484"/>
      <c r="F71" s="484"/>
      <c r="G71" s="484"/>
      <c r="H71" s="484"/>
      <c r="I71" s="484"/>
      <c r="J71" s="484"/>
      <c r="K71" s="484"/>
      <c r="L71" s="484"/>
      <c r="M71" s="484"/>
      <c r="N71" s="484"/>
      <c r="O71" s="484"/>
      <c r="P71" s="484"/>
      <c r="Q71" s="484"/>
      <c r="R71" s="484"/>
      <c r="S71" s="484"/>
      <c r="T71" s="484"/>
      <c r="U71" s="484"/>
      <c r="V71" s="484"/>
      <c r="W71" s="484"/>
      <c r="X71" s="484"/>
    </row>
    <row r="72" spans="2:24" x14ac:dyDescent="0.25">
      <c r="B72" s="484"/>
      <c r="C72" s="484"/>
      <c r="D72" s="484"/>
      <c r="E72" s="484"/>
      <c r="F72" s="484"/>
      <c r="G72" s="484"/>
      <c r="H72" s="484"/>
      <c r="I72" s="484"/>
      <c r="J72" s="484"/>
      <c r="K72" s="484"/>
      <c r="L72" s="484"/>
      <c r="M72" s="484"/>
      <c r="N72" s="484"/>
      <c r="O72" s="484"/>
      <c r="P72" s="484"/>
      <c r="Q72" s="484"/>
      <c r="R72" s="484"/>
      <c r="S72" s="484"/>
      <c r="T72" s="484"/>
      <c r="U72" s="484"/>
      <c r="V72" s="484"/>
      <c r="W72" s="484"/>
      <c r="X72" s="484"/>
    </row>
    <row r="73" spans="2:24" x14ac:dyDescent="0.25">
      <c r="B73" s="484"/>
      <c r="C73" s="484"/>
      <c r="D73" s="484"/>
      <c r="E73" s="484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</row>
  </sheetData>
  <mergeCells count="5">
    <mergeCell ref="A1:F1"/>
    <mergeCell ref="A2:F2"/>
    <mergeCell ref="A3:F3"/>
    <mergeCell ref="A4:F4"/>
    <mergeCell ref="A25:F25"/>
  </mergeCells>
  <printOptions horizontalCentered="1"/>
  <pageMargins left="0.31496062992125984" right="0.43307086614173229" top="0.23622047244094491" bottom="0.23622047244094491" header="0.51181102362204722" footer="0.51181102362204722"/>
  <pageSetup paperSize="9" scale="7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70"/>
  <sheetViews>
    <sheetView view="pageBreakPreview" zoomScale="80" zoomScaleSheetLayoutView="80" workbookViewId="0">
      <selection sqref="A1:XFD1"/>
    </sheetView>
  </sheetViews>
  <sheetFormatPr defaultColWidth="9.140625" defaultRowHeight="23.25" x14ac:dyDescent="0.35"/>
  <cols>
    <col min="1" max="1" width="110.42578125" style="1483" customWidth="1"/>
    <col min="2" max="2" width="23" style="1483" customWidth="1"/>
    <col min="3" max="3" width="21.140625" style="1504" customWidth="1"/>
    <col min="4" max="4" width="25.7109375" style="1504" customWidth="1"/>
    <col min="5" max="5" width="17.7109375" style="1483" customWidth="1"/>
    <col min="6" max="6" width="13.5703125" style="1483" customWidth="1"/>
    <col min="7" max="7" width="20.7109375" style="1483" customWidth="1"/>
    <col min="8" max="8" width="18" style="1483" customWidth="1"/>
    <col min="9" max="9" width="9.28515625" style="1483" bestFit="1" customWidth="1"/>
    <col min="10" max="16384" width="9.140625" style="1483"/>
  </cols>
  <sheetData>
    <row r="1" spans="1:9" s="1484" customFormat="1" ht="37.5" customHeight="1" x14ac:dyDescent="0.2">
      <c r="A1" s="1965" t="str">
        <f>'32. gördülő'!A1:F1</f>
        <v>Pilisvörösvár Város Önkormányzata Képviselő-testületének 2/2018. (II. 9.) önkormányzati rendelete</v>
      </c>
      <c r="B1" s="1965"/>
      <c r="C1" s="1965"/>
      <c r="D1" s="1965"/>
      <c r="E1" s="1965"/>
      <c r="F1" s="1043"/>
      <c r="G1" s="1043"/>
    </row>
    <row r="2" spans="1:9" ht="27.75" customHeight="1" x14ac:dyDescent="0.35">
      <c r="A2" s="1915" t="str">
        <f>'32. gördülő'!A2:F2</f>
        <v>az Önkormányzat  2018. évi költségvetéséről</v>
      </c>
      <c r="B2" s="1915"/>
      <c r="C2" s="1915"/>
      <c r="D2" s="1915"/>
      <c r="E2" s="1915"/>
      <c r="F2" s="1490"/>
      <c r="G2" s="1490"/>
    </row>
    <row r="3" spans="1:9" ht="57.75" customHeight="1" x14ac:dyDescent="0.35">
      <c r="A3" s="1935" t="s">
        <v>1076</v>
      </c>
      <c r="B3" s="1935"/>
      <c r="C3" s="1936"/>
      <c r="D3" s="1936"/>
      <c r="E3" s="1936"/>
    </row>
    <row r="4" spans="1:9" ht="46.5" customHeight="1" x14ac:dyDescent="0.35">
      <c r="A4" s="1491"/>
      <c r="B4" s="1491"/>
      <c r="C4" s="1492"/>
      <c r="D4" s="1492"/>
      <c r="E4" s="1493" t="s">
        <v>1142</v>
      </c>
    </row>
    <row r="5" spans="1:9" ht="27.75" customHeight="1" thickBot="1" x14ac:dyDescent="0.4">
      <c r="A5" s="1747" t="s">
        <v>1078</v>
      </c>
      <c r="B5" s="1491"/>
      <c r="C5" s="1492"/>
      <c r="D5" s="1492"/>
      <c r="E5" s="1748" t="s">
        <v>1077</v>
      </c>
    </row>
    <row r="6" spans="1:9" ht="45.75" customHeight="1" x14ac:dyDescent="0.35">
      <c r="A6" s="1937" t="s">
        <v>1083</v>
      </c>
      <c r="B6" s="1938"/>
      <c r="C6" s="1938"/>
      <c r="D6" s="1938"/>
      <c r="E6" s="1939"/>
    </row>
    <row r="7" spans="1:9" s="1043" customFormat="1" ht="33" customHeight="1" x14ac:dyDescent="0.2">
      <c r="A7" s="1749" t="s">
        <v>63</v>
      </c>
      <c r="B7" s="1750" t="s">
        <v>1149</v>
      </c>
      <c r="C7" s="1750" t="s">
        <v>1150</v>
      </c>
      <c r="D7" s="1751"/>
      <c r="E7" s="1752" t="s">
        <v>450</v>
      </c>
      <c r="F7" s="1494"/>
      <c r="G7" s="1494"/>
      <c r="H7" s="1495"/>
      <c r="I7" s="1494"/>
    </row>
    <row r="8" spans="1:9" s="1043" customFormat="1" ht="45.75" customHeight="1" x14ac:dyDescent="0.2">
      <c r="A8" s="1753" t="s">
        <v>1079</v>
      </c>
      <c r="B8" s="1754">
        <v>9000</v>
      </c>
      <c r="C8" s="1754">
        <v>0</v>
      </c>
      <c r="D8" s="1755"/>
      <c r="E8" s="1756">
        <f>SUM(B8:C8)</f>
        <v>9000</v>
      </c>
      <c r="F8" s="1494"/>
      <c r="G8" s="1494"/>
      <c r="H8" s="1496"/>
      <c r="I8" s="1494"/>
    </row>
    <row r="9" spans="1:9" s="1043" customFormat="1" ht="38.25" customHeight="1" x14ac:dyDescent="0.2">
      <c r="A9" s="1757" t="s">
        <v>1080</v>
      </c>
      <c r="B9" s="1754">
        <v>0</v>
      </c>
      <c r="C9" s="1754">
        <v>0</v>
      </c>
      <c r="D9" s="1755"/>
      <c r="E9" s="1756">
        <f>SUM(B9:C9)</f>
        <v>0</v>
      </c>
      <c r="F9" s="1494"/>
      <c r="G9" s="1494"/>
      <c r="H9" s="1495"/>
      <c r="I9" s="1494"/>
    </row>
    <row r="10" spans="1:9" s="1043" customFormat="1" ht="44.25" customHeight="1" x14ac:dyDescent="0.2">
      <c r="A10" s="1753" t="s">
        <v>1081</v>
      </c>
      <c r="B10" s="1754">
        <v>0</v>
      </c>
      <c r="C10" s="1754">
        <v>0</v>
      </c>
      <c r="D10" s="1755"/>
      <c r="E10" s="1756">
        <f>SUM(B10:C10)</f>
        <v>0</v>
      </c>
      <c r="F10" s="1494"/>
      <c r="G10" s="1494"/>
      <c r="H10" s="1496"/>
      <c r="I10" s="1494"/>
    </row>
    <row r="11" spans="1:9" s="1043" customFormat="1" ht="38.25" customHeight="1" thickBot="1" x14ac:dyDescent="0.25">
      <c r="A11" s="1758" t="s">
        <v>1087</v>
      </c>
      <c r="B11" s="1759">
        <f>SUM(B8:B10)</f>
        <v>9000</v>
      </c>
      <c r="C11" s="1759">
        <f t="shared" ref="C11:E11" si="0">SUM(C8:C10)</f>
        <v>0</v>
      </c>
      <c r="D11" s="1760"/>
      <c r="E11" s="1761">
        <f t="shared" si="0"/>
        <v>9000</v>
      </c>
      <c r="F11" s="1494"/>
      <c r="G11" s="1494"/>
      <c r="H11" s="1494"/>
      <c r="I11" s="1494"/>
    </row>
    <row r="12" spans="1:9" s="1484" customFormat="1" ht="27.75" customHeight="1" thickBot="1" x14ac:dyDescent="0.25">
      <c r="A12" s="1940"/>
      <c r="B12" s="1940"/>
      <c r="C12" s="1940"/>
      <c r="D12" s="1940"/>
      <c r="E12" s="1940"/>
      <c r="F12" s="1497"/>
      <c r="G12" s="1497"/>
      <c r="H12" s="1497"/>
      <c r="I12" s="1497"/>
    </row>
    <row r="13" spans="1:9" s="1484" customFormat="1" ht="37.5" customHeight="1" thickBot="1" x14ac:dyDescent="0.25">
      <c r="A13" s="1762" t="s">
        <v>64</v>
      </c>
      <c r="B13" s="1763" t="s">
        <v>1151</v>
      </c>
      <c r="C13" s="1763" t="s">
        <v>1150</v>
      </c>
      <c r="D13" s="1764"/>
      <c r="E13" s="1765" t="s">
        <v>450</v>
      </c>
      <c r="F13" s="1497"/>
      <c r="G13" s="1497"/>
      <c r="H13" s="1497"/>
      <c r="I13" s="1497"/>
    </row>
    <row r="14" spans="1:9" s="1484" customFormat="1" ht="37.5" customHeight="1" x14ac:dyDescent="0.2">
      <c r="A14" s="1766" t="s">
        <v>1086</v>
      </c>
      <c r="B14" s="1767"/>
      <c r="C14" s="1767"/>
      <c r="D14" s="1768"/>
      <c r="E14" s="1769"/>
      <c r="F14" s="1497"/>
      <c r="G14" s="1497"/>
      <c r="H14" s="1497"/>
      <c r="I14" s="1497"/>
    </row>
    <row r="15" spans="1:9" s="1484" customFormat="1" ht="37.5" customHeight="1" x14ac:dyDescent="0.2">
      <c r="A15" s="1766" t="s">
        <v>1085</v>
      </c>
      <c r="B15" s="1770">
        <v>71</v>
      </c>
      <c r="C15" s="1770"/>
      <c r="D15" s="1771"/>
      <c r="E15" s="1772">
        <f>SUM(B15:D15)</f>
        <v>71</v>
      </c>
      <c r="F15" s="1497"/>
      <c r="G15" s="1497"/>
      <c r="H15" s="1497"/>
      <c r="I15" s="1497"/>
    </row>
    <row r="16" spans="1:9" s="1484" customFormat="1" ht="37.5" customHeight="1" thickBot="1" x14ac:dyDescent="0.25">
      <c r="A16" s="1766" t="s">
        <v>1082</v>
      </c>
      <c r="B16" s="1773">
        <v>2160</v>
      </c>
      <c r="C16" s="1773">
        <f>'23. Beruházás (K6)'!D22</f>
        <v>6840</v>
      </c>
      <c r="D16" s="1774"/>
      <c r="E16" s="1775">
        <f>SUM(B16:C16)</f>
        <v>9000</v>
      </c>
      <c r="F16" s="1498"/>
      <c r="G16" s="1497"/>
      <c r="H16" s="1497"/>
      <c r="I16" s="1497"/>
    </row>
    <row r="17" spans="1:9" s="1484" customFormat="1" ht="37.5" customHeight="1" thickBot="1" x14ac:dyDescent="0.25">
      <c r="A17" s="1762" t="s">
        <v>1084</v>
      </c>
      <c r="B17" s="1776">
        <f>SUM(B14:B16)</f>
        <v>2231</v>
      </c>
      <c r="C17" s="1776">
        <f>SUM(C16:C16)</f>
        <v>6840</v>
      </c>
      <c r="D17" s="1777"/>
      <c r="E17" s="1778">
        <f>SUM(B17:C17)</f>
        <v>9071</v>
      </c>
      <c r="F17" s="1497"/>
      <c r="G17" s="1497"/>
      <c r="H17" s="1497"/>
      <c r="I17" s="1497"/>
    </row>
    <row r="18" spans="1:9" s="1484" customFormat="1" ht="37.5" customHeight="1" thickBot="1" x14ac:dyDescent="0.25">
      <c r="A18" s="1779"/>
      <c r="B18" s="1780"/>
      <c r="C18" s="1780"/>
      <c r="D18" s="1780"/>
      <c r="E18" s="1780"/>
      <c r="F18" s="1497"/>
      <c r="G18" s="1497"/>
      <c r="H18" s="1497"/>
      <c r="I18" s="1497"/>
    </row>
    <row r="19" spans="1:9" ht="27.75" customHeight="1" thickBot="1" x14ac:dyDescent="0.4">
      <c r="A19" s="1932" t="s">
        <v>1088</v>
      </c>
      <c r="B19" s="1933"/>
      <c r="C19" s="1933"/>
      <c r="D19" s="1933"/>
      <c r="E19" s="1934"/>
      <c r="F19" s="1499"/>
      <c r="G19" s="1499"/>
      <c r="H19" s="1499"/>
      <c r="I19" s="1499"/>
    </row>
    <row r="20" spans="1:9" s="1484" customFormat="1" ht="37.5" customHeight="1" x14ac:dyDescent="0.2">
      <c r="A20" s="1781" t="s">
        <v>63</v>
      </c>
      <c r="B20" s="1782" t="s">
        <v>1151</v>
      </c>
      <c r="C20" s="1782" t="s">
        <v>1057</v>
      </c>
      <c r="D20" s="1783"/>
      <c r="E20" s="1784" t="s">
        <v>450</v>
      </c>
      <c r="F20" s="1497"/>
      <c r="G20" s="1497"/>
      <c r="H20" s="1497"/>
      <c r="I20" s="1497"/>
    </row>
    <row r="21" spans="1:9" ht="45.75" thickBot="1" x14ac:dyDescent="0.4">
      <c r="A21" s="1785" t="s">
        <v>1121</v>
      </c>
      <c r="B21" s="1786">
        <v>16700</v>
      </c>
      <c r="C21" s="1786">
        <v>0</v>
      </c>
      <c r="D21" s="1787"/>
      <c r="E21" s="1788">
        <f>SUM(B21:D21)</f>
        <v>16700</v>
      </c>
      <c r="F21" s="1499"/>
      <c r="G21" s="1499"/>
      <c r="H21" s="1499"/>
      <c r="I21" s="1499"/>
    </row>
    <row r="22" spans="1:9" ht="27.75" customHeight="1" x14ac:dyDescent="0.35">
      <c r="A22" s="1747"/>
      <c r="B22" s="1789"/>
      <c r="C22" s="1790"/>
      <c r="D22" s="1790"/>
      <c r="E22" s="1790"/>
      <c r="F22" s="1499"/>
      <c r="G22" s="1499"/>
      <c r="H22" s="1499"/>
      <c r="I22" s="1499"/>
    </row>
    <row r="23" spans="1:9" ht="27.75" customHeight="1" thickBot="1" x14ac:dyDescent="0.4">
      <c r="A23" s="1747"/>
      <c r="B23" s="1789"/>
      <c r="C23" s="1790"/>
      <c r="D23" s="1790"/>
      <c r="E23" s="1790"/>
      <c r="F23" s="1499"/>
      <c r="G23" s="1499"/>
      <c r="H23" s="1499"/>
      <c r="I23" s="1499"/>
    </row>
    <row r="24" spans="1:9" ht="27.75" customHeight="1" thickBot="1" x14ac:dyDescent="0.4">
      <c r="A24" s="1762" t="s">
        <v>64</v>
      </c>
      <c r="B24" s="1763" t="s">
        <v>1149</v>
      </c>
      <c r="C24" s="1763" t="s">
        <v>1057</v>
      </c>
      <c r="D24" s="1764"/>
      <c r="E24" s="1765" t="s">
        <v>450</v>
      </c>
      <c r="F24" s="1499"/>
      <c r="G24" s="1499"/>
      <c r="H24" s="1499"/>
      <c r="I24" s="1499"/>
    </row>
    <row r="25" spans="1:9" ht="27.75" customHeight="1" x14ac:dyDescent="0.35">
      <c r="A25" s="1766" t="s">
        <v>1086</v>
      </c>
      <c r="B25" s="1767"/>
      <c r="C25" s="1767"/>
      <c r="D25" s="1768"/>
      <c r="E25" s="1769">
        <f>SUM(B25:C25)</f>
        <v>0</v>
      </c>
      <c r="F25" s="1499"/>
      <c r="G25" s="1499"/>
      <c r="H25" s="1499"/>
      <c r="I25" s="1499"/>
    </row>
    <row r="26" spans="1:9" ht="27.75" customHeight="1" x14ac:dyDescent="0.35">
      <c r="A26" s="1766" t="s">
        <v>1085</v>
      </c>
      <c r="B26" s="1770">
        <v>213</v>
      </c>
      <c r="C26" s="1770"/>
      <c r="D26" s="1771"/>
      <c r="E26" s="1772">
        <f>SUM(B26:C26)</f>
        <v>213</v>
      </c>
      <c r="F26" s="1499"/>
      <c r="G26" s="1499"/>
      <c r="H26" s="1499"/>
      <c r="I26" s="1499"/>
    </row>
    <row r="27" spans="1:9" ht="27.75" customHeight="1" x14ac:dyDescent="0.35">
      <c r="A27" s="1757" t="s">
        <v>1082</v>
      </c>
      <c r="B27" s="1754">
        <v>3294</v>
      </c>
      <c r="C27" s="1754">
        <f>'24. Felújítás (K7)'!D14</f>
        <v>13354</v>
      </c>
      <c r="D27" s="1755"/>
      <c r="E27" s="1756">
        <f>SUM(B27:C27)</f>
        <v>16648</v>
      </c>
      <c r="F27" s="1499"/>
      <c r="G27" s="1499"/>
      <c r="H27" s="1499"/>
      <c r="I27" s="1499"/>
    </row>
    <row r="28" spans="1:9" ht="45.75" thickBot="1" x14ac:dyDescent="0.4">
      <c r="A28" s="1791" t="s">
        <v>1122</v>
      </c>
      <c r="B28" s="1792">
        <f>SUM(B25:B27)</f>
        <v>3507</v>
      </c>
      <c r="C28" s="1792">
        <f>SUM(C25:C27)</f>
        <v>13354</v>
      </c>
      <c r="D28" s="1793"/>
      <c r="E28" s="1794">
        <f>SUM(E25:E27)</f>
        <v>16861</v>
      </c>
      <c r="F28" s="1499"/>
      <c r="G28" s="1499"/>
      <c r="H28" s="1499"/>
      <c r="I28" s="1499"/>
    </row>
    <row r="29" spans="1:9" ht="27.75" customHeight="1" x14ac:dyDescent="0.35">
      <c r="A29" s="1795"/>
      <c r="B29" s="1795"/>
      <c r="C29" s="1795"/>
      <c r="D29" s="1795"/>
      <c r="E29" s="1795"/>
      <c r="F29" s="1499"/>
      <c r="G29" s="1499"/>
      <c r="H29" s="1499"/>
      <c r="I29" s="1499"/>
    </row>
    <row r="30" spans="1:9" ht="27.75" customHeight="1" thickBot="1" x14ac:dyDescent="0.4">
      <c r="A30" s="1796"/>
      <c r="B30" s="1796"/>
      <c r="C30" s="1796"/>
      <c r="D30" s="1796"/>
      <c r="E30" s="1796"/>
      <c r="F30" s="1499"/>
      <c r="G30" s="1499"/>
      <c r="H30" s="1499"/>
      <c r="I30" s="1499"/>
    </row>
    <row r="31" spans="1:9" ht="48.75" customHeight="1" thickBot="1" x14ac:dyDescent="0.4">
      <c r="A31" s="1932" t="s">
        <v>1089</v>
      </c>
      <c r="B31" s="1933"/>
      <c r="C31" s="1933"/>
      <c r="D31" s="1933"/>
      <c r="E31" s="1934"/>
      <c r="F31" s="1499"/>
      <c r="G31" s="1499"/>
      <c r="H31" s="1499"/>
      <c r="I31" s="1499"/>
    </row>
    <row r="32" spans="1:9" ht="33" customHeight="1" x14ac:dyDescent="0.35">
      <c r="A32" s="1781" t="s">
        <v>63</v>
      </c>
      <c r="B32" s="1782" t="s">
        <v>1149</v>
      </c>
      <c r="C32" s="1782" t="s">
        <v>1057</v>
      </c>
      <c r="D32" s="1797"/>
      <c r="E32" s="1784" t="s">
        <v>450</v>
      </c>
      <c r="F32" s="1499"/>
      <c r="G32" s="1499"/>
      <c r="H32" s="1499"/>
      <c r="I32" s="1499"/>
    </row>
    <row r="33" spans="1:9" ht="60.75" customHeight="1" thickBot="1" x14ac:dyDescent="0.4">
      <c r="A33" s="1791" t="s">
        <v>1123</v>
      </c>
      <c r="B33" s="1786">
        <v>60590</v>
      </c>
      <c r="C33" s="1798">
        <v>0</v>
      </c>
      <c r="D33" s="1799"/>
      <c r="E33" s="1800">
        <f>SUM(B33:D33)</f>
        <v>60590</v>
      </c>
      <c r="F33" s="1499"/>
      <c r="G33" s="1499"/>
      <c r="H33" s="1499"/>
      <c r="I33" s="1499"/>
    </row>
    <row r="34" spans="1:9" ht="27.75" customHeight="1" thickBot="1" x14ac:dyDescent="0.4">
      <c r="A34" s="1491"/>
      <c r="B34" s="1491"/>
      <c r="C34" s="1492"/>
      <c r="D34" s="1492"/>
      <c r="E34" s="1801"/>
      <c r="F34" s="1499"/>
      <c r="G34" s="1499"/>
      <c r="H34" s="1499"/>
      <c r="I34" s="1499"/>
    </row>
    <row r="35" spans="1:9" ht="27.75" customHeight="1" thickBot="1" x14ac:dyDescent="0.4">
      <c r="A35" s="1762" t="s">
        <v>64</v>
      </c>
      <c r="B35" s="1763" t="s">
        <v>1152</v>
      </c>
      <c r="C35" s="1763" t="s">
        <v>1151</v>
      </c>
      <c r="D35" s="1763" t="s">
        <v>1057</v>
      </c>
      <c r="E35" s="1802" t="s">
        <v>450</v>
      </c>
      <c r="F35" s="1499"/>
      <c r="G35" s="1499"/>
      <c r="H35" s="1499"/>
      <c r="I35" s="1499"/>
    </row>
    <row r="36" spans="1:9" ht="27.75" customHeight="1" x14ac:dyDescent="0.35">
      <c r="A36" s="1766" t="s">
        <v>1086</v>
      </c>
      <c r="B36" s="1767"/>
      <c r="C36" s="1767"/>
      <c r="D36" s="1768"/>
      <c r="E36" s="1803">
        <f>SUM(B36:C36)</f>
        <v>0</v>
      </c>
      <c r="F36" s="1499"/>
      <c r="G36" s="1499"/>
      <c r="H36" s="1499"/>
      <c r="I36" s="1499"/>
    </row>
    <row r="37" spans="1:9" ht="27.75" customHeight="1" x14ac:dyDescent="0.35">
      <c r="A37" s="1766" t="s">
        <v>1085</v>
      </c>
      <c r="B37" s="1770">
        <v>1451</v>
      </c>
      <c r="C37" s="1770">
        <v>1064</v>
      </c>
      <c r="D37" s="1771"/>
      <c r="E37" s="1804">
        <f>SUM(B37:C37)</f>
        <v>2515</v>
      </c>
      <c r="F37" s="1499"/>
      <c r="G37" s="1499"/>
      <c r="H37" s="1499"/>
      <c r="I37" s="1499"/>
    </row>
    <row r="38" spans="1:9" ht="27.75" customHeight="1" x14ac:dyDescent="0.35">
      <c r="A38" s="1757" t="s">
        <v>1082</v>
      </c>
      <c r="B38" s="1754">
        <v>0</v>
      </c>
      <c r="C38" s="1754">
        <v>60923</v>
      </c>
      <c r="D38" s="1755">
        <v>0</v>
      </c>
      <c r="E38" s="1805">
        <f>SUM(B38:D38)</f>
        <v>60923</v>
      </c>
      <c r="F38" s="1499"/>
      <c r="G38" s="1499"/>
      <c r="H38" s="1499"/>
      <c r="I38" s="1499"/>
    </row>
    <row r="39" spans="1:9" ht="67.5" customHeight="1" thickBot="1" x14ac:dyDescent="0.4">
      <c r="A39" s="1791" t="s">
        <v>1124</v>
      </c>
      <c r="B39" s="1792">
        <f>SUM(B36:B38)</f>
        <v>1451</v>
      </c>
      <c r="C39" s="1792">
        <f>SUM(C37:C38)</f>
        <v>61987</v>
      </c>
      <c r="D39" s="1792">
        <f>SUM(D37:D38)</f>
        <v>0</v>
      </c>
      <c r="E39" s="1806">
        <f>SUM(E37:E38)</f>
        <v>63438</v>
      </c>
      <c r="F39" s="1499"/>
      <c r="G39" s="1499"/>
      <c r="H39" s="1499"/>
      <c r="I39" s="1499"/>
    </row>
    <row r="40" spans="1:9" ht="27.75" customHeight="1" x14ac:dyDescent="0.35">
      <c r="A40" s="1491"/>
      <c r="B40" s="1491"/>
      <c r="C40" s="1492"/>
      <c r="D40" s="1492"/>
      <c r="E40" s="1492"/>
      <c r="F40" s="1499"/>
      <c r="G40" s="1499"/>
      <c r="H40" s="1499"/>
      <c r="I40" s="1499"/>
    </row>
    <row r="41" spans="1:9" ht="27.75" customHeight="1" x14ac:dyDescent="0.35">
      <c r="A41" s="1491"/>
      <c r="B41" s="1491"/>
      <c r="C41" s="1492"/>
      <c r="D41" s="1492"/>
      <c r="E41" s="1492"/>
      <c r="F41" s="1499"/>
      <c r="G41" s="1499"/>
      <c r="H41" s="1499"/>
      <c r="I41" s="1499"/>
    </row>
    <row r="42" spans="1:9" ht="27.75" customHeight="1" x14ac:dyDescent="0.35">
      <c r="A42" s="1491"/>
      <c r="B42" s="1491"/>
      <c r="C42" s="1492"/>
      <c r="D42" s="1492"/>
      <c r="E42" s="1492"/>
      <c r="F42" s="1499"/>
      <c r="G42" s="1499"/>
      <c r="H42" s="1499"/>
      <c r="I42" s="1499"/>
    </row>
    <row r="43" spans="1:9" ht="27.75" customHeight="1" x14ac:dyDescent="0.35">
      <c r="A43" s="1491"/>
      <c r="B43" s="1491"/>
      <c r="C43" s="1492"/>
      <c r="D43" s="1492"/>
      <c r="E43" s="1492"/>
      <c r="F43" s="1499"/>
      <c r="G43" s="1499"/>
      <c r="H43" s="1499"/>
      <c r="I43" s="1499"/>
    </row>
    <row r="44" spans="1:9" s="1501" customFormat="1" ht="27.75" customHeight="1" x14ac:dyDescent="0.3">
      <c r="A44" s="1807"/>
      <c r="B44" s="1807"/>
      <c r="C44" s="1801"/>
      <c r="D44" s="1801"/>
      <c r="E44" s="1801"/>
      <c r="F44" s="1500"/>
      <c r="G44" s="1500"/>
      <c r="H44" s="1500"/>
      <c r="I44" s="1500"/>
    </row>
    <row r="45" spans="1:9" ht="27.75" customHeight="1" x14ac:dyDescent="0.35">
      <c r="A45" s="1491"/>
      <c r="B45" s="1491"/>
      <c r="C45" s="1492"/>
      <c r="D45" s="1492"/>
      <c r="E45" s="1491"/>
      <c r="F45" s="1499"/>
      <c r="G45" s="1499"/>
      <c r="H45" s="1499"/>
      <c r="I45" s="1499"/>
    </row>
    <row r="46" spans="1:9" x14ac:dyDescent="0.35">
      <c r="A46" s="1491"/>
      <c r="B46" s="1491"/>
      <c r="C46" s="1492"/>
      <c r="D46" s="1492"/>
      <c r="E46" s="1491"/>
      <c r="F46" s="1499"/>
      <c r="G46" s="1499"/>
      <c r="H46" s="1499"/>
      <c r="I46" s="1499"/>
    </row>
    <row r="47" spans="1:9" x14ac:dyDescent="0.35">
      <c r="A47" s="1491"/>
      <c r="B47" s="1491"/>
      <c r="C47" s="1492"/>
      <c r="D47" s="1492"/>
      <c r="E47" s="1491"/>
      <c r="F47" s="1499"/>
      <c r="G47" s="1499"/>
      <c r="H47" s="1499"/>
      <c r="I47" s="1499"/>
    </row>
    <row r="48" spans="1:9" x14ac:dyDescent="0.35">
      <c r="A48" s="1491"/>
      <c r="B48" s="1491"/>
      <c r="C48" s="1492"/>
      <c r="D48" s="1492"/>
      <c r="E48" s="1491"/>
      <c r="F48" s="1499"/>
      <c r="G48" s="1499"/>
      <c r="H48" s="1499"/>
      <c r="I48" s="1499"/>
    </row>
    <row r="49" spans="1:9" x14ac:dyDescent="0.35">
      <c r="A49" s="1491"/>
      <c r="B49" s="1491"/>
      <c r="C49" s="1492"/>
      <c r="D49" s="1492"/>
      <c r="E49" s="1491"/>
      <c r="F49" s="1499"/>
      <c r="G49" s="1499"/>
      <c r="H49" s="1499"/>
      <c r="I49" s="1499"/>
    </row>
    <row r="50" spans="1:9" x14ac:dyDescent="0.35">
      <c r="A50" s="1491"/>
      <c r="B50" s="1491"/>
      <c r="C50" s="1492"/>
      <c r="D50" s="1492"/>
      <c r="E50" s="1491"/>
      <c r="F50" s="1499"/>
      <c r="G50" s="1499"/>
      <c r="H50" s="1499"/>
      <c r="I50" s="1499"/>
    </row>
    <row r="51" spans="1:9" x14ac:dyDescent="0.35">
      <c r="A51" s="1491"/>
      <c r="B51" s="1491"/>
      <c r="C51" s="1492"/>
      <c r="D51" s="1492"/>
      <c r="E51" s="1491"/>
      <c r="F51" s="1499"/>
      <c r="G51" s="1499"/>
      <c r="H51" s="1499"/>
      <c r="I51" s="1499"/>
    </row>
    <row r="52" spans="1:9" x14ac:dyDescent="0.35">
      <c r="A52" s="1491"/>
      <c r="B52" s="1491"/>
      <c r="C52" s="1492"/>
      <c r="D52" s="1492"/>
      <c r="E52" s="1491"/>
      <c r="F52" s="1499"/>
      <c r="G52" s="1499"/>
      <c r="H52" s="1499"/>
      <c r="I52" s="1499"/>
    </row>
    <row r="53" spans="1:9" x14ac:dyDescent="0.35">
      <c r="A53" s="1491"/>
      <c r="B53" s="1491"/>
      <c r="C53" s="1492"/>
      <c r="D53" s="1492"/>
      <c r="E53" s="1491"/>
      <c r="F53" s="1499"/>
      <c r="G53" s="1499"/>
      <c r="H53" s="1499"/>
      <c r="I53" s="1499"/>
    </row>
    <row r="54" spans="1:9" x14ac:dyDescent="0.35">
      <c r="A54" s="1491"/>
      <c r="B54" s="1491"/>
      <c r="C54" s="1492"/>
      <c r="D54" s="1492"/>
      <c r="E54" s="1491"/>
      <c r="F54" s="1499"/>
      <c r="G54" s="1499"/>
      <c r="H54" s="1499"/>
      <c r="I54" s="1499"/>
    </row>
    <row r="55" spans="1:9" x14ac:dyDescent="0.35">
      <c r="A55" s="1491"/>
      <c r="B55" s="1491"/>
      <c r="C55" s="1492"/>
      <c r="D55" s="1492"/>
      <c r="E55" s="1491"/>
      <c r="F55" s="1499"/>
      <c r="G55" s="1499"/>
      <c r="H55" s="1499"/>
      <c r="I55" s="1499"/>
    </row>
    <row r="56" spans="1:9" x14ac:dyDescent="0.35">
      <c r="A56" s="1491"/>
      <c r="B56" s="1491"/>
      <c r="C56" s="1492"/>
      <c r="D56" s="1492"/>
      <c r="E56" s="1491"/>
      <c r="F56" s="1499"/>
      <c r="G56" s="1499"/>
      <c r="H56" s="1499"/>
      <c r="I56" s="1499"/>
    </row>
    <row r="57" spans="1:9" x14ac:dyDescent="0.35">
      <c r="A57" s="1491"/>
      <c r="B57" s="1491"/>
      <c r="C57" s="1492"/>
      <c r="D57" s="1492"/>
      <c r="E57" s="1491"/>
      <c r="F57" s="1499"/>
      <c r="G57" s="1499"/>
      <c r="H57" s="1499"/>
      <c r="I57" s="1499"/>
    </row>
    <row r="58" spans="1:9" x14ac:dyDescent="0.35">
      <c r="A58" s="1491"/>
      <c r="B58" s="1491"/>
      <c r="C58" s="1492"/>
      <c r="D58" s="1492"/>
      <c r="E58" s="1491"/>
      <c r="F58" s="1499"/>
      <c r="G58" s="1499"/>
      <c r="H58" s="1499"/>
      <c r="I58" s="1499"/>
    </row>
    <row r="59" spans="1:9" x14ac:dyDescent="0.35">
      <c r="A59" s="1491"/>
      <c r="B59" s="1491"/>
      <c r="C59" s="1492"/>
      <c r="D59" s="1492"/>
      <c r="E59" s="1491"/>
      <c r="F59" s="1499"/>
      <c r="G59" s="1499"/>
      <c r="H59" s="1499"/>
      <c r="I59" s="1499"/>
    </row>
    <row r="60" spans="1:9" x14ac:dyDescent="0.35">
      <c r="A60" s="1502"/>
      <c r="B60" s="1502"/>
      <c r="C60" s="1503"/>
      <c r="D60" s="1503"/>
      <c r="E60" s="1502"/>
    </row>
    <row r="61" spans="1:9" x14ac:dyDescent="0.35">
      <c r="A61" s="1502"/>
      <c r="B61" s="1502"/>
      <c r="C61" s="1503"/>
      <c r="D61" s="1503"/>
      <c r="E61" s="1502"/>
    </row>
    <row r="62" spans="1:9" x14ac:dyDescent="0.35">
      <c r="A62" s="1502"/>
      <c r="B62" s="1502"/>
      <c r="C62" s="1503"/>
      <c r="D62" s="1503"/>
      <c r="E62" s="1502"/>
    </row>
    <row r="63" spans="1:9" x14ac:dyDescent="0.35">
      <c r="A63" s="1502"/>
      <c r="B63" s="1502"/>
      <c r="C63" s="1503"/>
      <c r="D63" s="1503"/>
      <c r="E63" s="1502"/>
    </row>
    <row r="64" spans="1:9" x14ac:dyDescent="0.35">
      <c r="A64" s="1502"/>
      <c r="B64" s="1502"/>
      <c r="C64" s="1503"/>
      <c r="D64" s="1503"/>
      <c r="E64" s="1502"/>
    </row>
    <row r="65" spans="1:5" x14ac:dyDescent="0.35">
      <c r="A65" s="1502"/>
      <c r="B65" s="1502"/>
      <c r="C65" s="1503"/>
      <c r="D65" s="1503"/>
      <c r="E65" s="1502"/>
    </row>
    <row r="66" spans="1:5" x14ac:dyDescent="0.35">
      <c r="A66" s="1502"/>
      <c r="B66" s="1502"/>
      <c r="C66" s="1503"/>
      <c r="D66" s="1503"/>
      <c r="E66" s="1502"/>
    </row>
    <row r="67" spans="1:5" x14ac:dyDescent="0.35">
      <c r="A67" s="1502"/>
      <c r="B67" s="1502"/>
      <c r="C67" s="1503"/>
      <c r="D67" s="1503"/>
      <c r="E67" s="1502"/>
    </row>
    <row r="68" spans="1:5" x14ac:dyDescent="0.35">
      <c r="A68" s="1502"/>
      <c r="B68" s="1502"/>
      <c r="C68" s="1503"/>
      <c r="D68" s="1503"/>
      <c r="E68" s="1502"/>
    </row>
    <row r="69" spans="1:5" x14ac:dyDescent="0.35">
      <c r="A69" s="1502"/>
      <c r="B69" s="1502"/>
      <c r="C69" s="1503"/>
      <c r="D69" s="1503"/>
      <c r="E69" s="1502"/>
    </row>
    <row r="70" spans="1:5" x14ac:dyDescent="0.35">
      <c r="A70" s="1502"/>
      <c r="B70" s="1502"/>
      <c r="C70" s="1503"/>
      <c r="D70" s="1503"/>
      <c r="E70" s="1502"/>
    </row>
  </sheetData>
  <mergeCells count="7">
    <mergeCell ref="A31:E31"/>
    <mergeCell ref="A1:E1"/>
    <mergeCell ref="A2:E2"/>
    <mergeCell ref="A3:E3"/>
    <mergeCell ref="A6:E6"/>
    <mergeCell ref="A12:E12"/>
    <mergeCell ref="A19:E1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3" tint="-0.249977111117893"/>
    <pageSetUpPr fitToPage="1"/>
  </sheetPr>
  <dimension ref="A1:S78"/>
  <sheetViews>
    <sheetView view="pageBreakPreview" zoomScale="70" zoomScaleSheetLayoutView="70" workbookViewId="0">
      <pane xSplit="2" ySplit="8" topLeftCell="C9" activePane="bottomRight" state="frozen"/>
      <selection activeCell="C26" sqref="C26"/>
      <selection pane="topRight" activeCell="C26" sqref="C26"/>
      <selection pane="bottomLeft" activeCell="C26" sqref="C26"/>
      <selection pane="bottomRight" sqref="A1:N1"/>
    </sheetView>
  </sheetViews>
  <sheetFormatPr defaultRowHeight="15.75" x14ac:dyDescent="0.25"/>
  <cols>
    <col min="1" max="1" width="12.140625" style="4" customWidth="1"/>
    <col min="2" max="2" width="103.42578125" style="4" bestFit="1" customWidth="1"/>
    <col min="3" max="4" width="18.5703125" style="4" customWidth="1"/>
    <col min="5" max="6" width="17.5703125" style="4" customWidth="1"/>
    <col min="7" max="8" width="19.28515625" style="4" customWidth="1"/>
    <col min="9" max="10" width="16.42578125" style="4" customWidth="1"/>
    <col min="11" max="12" width="15.42578125" style="4" customWidth="1"/>
    <col min="13" max="14" width="16.7109375" style="4" customWidth="1"/>
    <col min="15" max="15" width="9.7109375" style="4" bestFit="1" customWidth="1"/>
    <col min="16" max="16384" width="9.140625" style="4"/>
  </cols>
  <sheetData>
    <row r="1" spans="1:15" ht="21" customHeight="1" x14ac:dyDescent="0.35">
      <c r="A1" s="1828" t="str">
        <f>Tartalomjegyzék_2018!A1</f>
        <v>Pilisvörösvár Város Önkormányzata Képviselő-testületének 2/2018. (II. 9.) önkormányzati rendelete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6"/>
      <c r="L1" s="1826"/>
      <c r="M1" s="1826"/>
      <c r="N1" s="1827"/>
    </row>
    <row r="2" spans="1:15" ht="7.5" customHeight="1" x14ac:dyDescent="0.3">
      <c r="A2" s="1044"/>
      <c r="B2" s="1045"/>
      <c r="C2" s="1045"/>
      <c r="D2" s="1045"/>
      <c r="E2" s="1045"/>
      <c r="F2" s="1045"/>
      <c r="G2" s="1045"/>
      <c r="H2" s="1045"/>
      <c r="I2" s="1045"/>
      <c r="J2" s="1045"/>
      <c r="K2" s="1046"/>
      <c r="L2" s="1046"/>
      <c r="M2" s="1046"/>
      <c r="N2" s="1046"/>
    </row>
    <row r="3" spans="1:15" ht="21" customHeight="1" x14ac:dyDescent="0.35">
      <c r="A3" s="1828" t="str">
        <f>Tartalomjegyzék_2018!A2</f>
        <v>az Önkormányzat  2018. évi költségvetéséről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6"/>
      <c r="L3" s="1826"/>
      <c r="M3" s="1826"/>
      <c r="N3" s="1827"/>
    </row>
    <row r="4" spans="1:15" ht="22.5" customHeight="1" x14ac:dyDescent="0.35">
      <c r="A4" s="1828" t="str">
        <f>Tartalomjegyzék_2018!B9</f>
        <v xml:space="preserve">Pilisvörösvár Város Önkormányzata működési és felhalmozási célú kiadások részletes bemutatása </v>
      </c>
      <c r="B4" s="1828"/>
      <c r="C4" s="1828"/>
      <c r="D4" s="1828"/>
      <c r="E4" s="1828"/>
      <c r="F4" s="1828"/>
      <c r="G4" s="1828"/>
      <c r="H4" s="1828"/>
      <c r="I4" s="1828"/>
      <c r="J4" s="1828"/>
      <c r="K4" s="1826"/>
      <c r="L4" s="1826"/>
      <c r="M4" s="1826"/>
      <c r="N4" s="1827"/>
    </row>
    <row r="5" spans="1:15" ht="22.5" customHeight="1" x14ac:dyDescent="0.25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5"/>
      <c r="L5" s="1074"/>
      <c r="N5" s="1037" t="s">
        <v>11</v>
      </c>
    </row>
    <row r="6" spans="1:15" ht="18.75" x14ac:dyDescent="0.25">
      <c r="A6" s="101"/>
      <c r="B6" s="101"/>
      <c r="C6" s="702"/>
      <c r="D6" s="708"/>
      <c r="E6" s="702"/>
      <c r="F6" s="708"/>
      <c r="G6" s="702"/>
      <c r="H6" s="708"/>
      <c r="I6" s="702"/>
      <c r="J6" s="708"/>
      <c r="N6" s="317"/>
    </row>
    <row r="7" spans="1:15" ht="21" thickBot="1" x14ac:dyDescent="0.35">
      <c r="N7" s="996" t="s">
        <v>329</v>
      </c>
    </row>
    <row r="8" spans="1:15" s="315" customFormat="1" ht="105.75" customHeight="1" thickBot="1" x14ac:dyDescent="0.25">
      <c r="A8" s="1360" t="s">
        <v>293</v>
      </c>
      <c r="B8" s="1361" t="s">
        <v>369</v>
      </c>
      <c r="C8" s="1353" t="str">
        <f>'2.Bevételek_részletes'!C7</f>
        <v>Önkormányzat 2017. évi eredeti előirányzat</v>
      </c>
      <c r="D8" s="1354" t="str">
        <f>'2.Bevételek_részletes'!D7</f>
        <v>Önkormányzat 2018. évi eredeti előirányzat</v>
      </c>
      <c r="E8" s="1353" t="str">
        <f>'2.Bevételek_részletes'!E7</f>
        <v>Polgármesteri Hivatal 2017. évi eredeti előirányzat</v>
      </c>
      <c r="F8" s="1354" t="str">
        <f>'2.Bevételek_részletes'!F7</f>
        <v>Polgármesteri Hivatal 2018. évi eredeti előirányzat</v>
      </c>
      <c r="G8" s="1353" t="str">
        <f>'2.Bevételek_részletes'!G7</f>
        <v>Szakorvosi Rendelőintézet 2017. évi eredeti előirányzat</v>
      </c>
      <c r="H8" s="1354" t="str">
        <f>'2.Bevételek_részletes'!H7</f>
        <v>Szakorvosi Rendelőintézet 2018. évi eredeti előirányzat</v>
      </c>
      <c r="I8" s="1353" t="str">
        <f>'2.Bevételek_részletes'!I7</f>
        <v>GESZ és intézményei   2017. évi eredeti előirányzat</v>
      </c>
      <c r="J8" s="1354" t="str">
        <f>'2.Bevételek_részletes'!J7</f>
        <v>GESZ és intézményei   2018. évi eredeti előirányzat</v>
      </c>
      <c r="K8" s="1353" t="str">
        <f>'2.Bevételek_részletes'!K7</f>
        <v>2017. évi             Eredeti előirányzat Összesen</v>
      </c>
      <c r="L8" s="1354" t="str">
        <f>'2.Bevételek_részletes'!L7</f>
        <v>2018. évi             Eredeti előirányzat Összesen</v>
      </c>
      <c r="M8" s="1353" t="str">
        <f>'2.Bevételek_részletes'!M7</f>
        <v>2017. évi            Konszolidált eredeti előirányzat</v>
      </c>
      <c r="N8" s="1354" t="str">
        <f>'2.Bevételek_részletes'!N7</f>
        <v>2018. évi            Konszolidált eredeti előirányzat</v>
      </c>
    </row>
    <row r="9" spans="1:15" s="7" customFormat="1" ht="28.5" customHeight="1" x14ac:dyDescent="0.3">
      <c r="A9" s="1357" t="s">
        <v>95</v>
      </c>
      <c r="B9" s="1316" t="s">
        <v>295</v>
      </c>
      <c r="C9" s="1358">
        <v>48270</v>
      </c>
      <c r="D9" s="1359">
        <f>45757</f>
        <v>45757</v>
      </c>
      <c r="E9" s="1358">
        <v>270299</v>
      </c>
      <c r="F9" s="1359">
        <f>292780</f>
        <v>292780</v>
      </c>
      <c r="G9" s="1358">
        <v>120025</v>
      </c>
      <c r="H9" s="1359">
        <v>128807</v>
      </c>
      <c r="I9" s="1358">
        <f>'3. Gesz költségvetés'!M36</f>
        <v>338198</v>
      </c>
      <c r="J9" s="1359">
        <f>'3. Gesz költségvetés'!N36</f>
        <v>376122</v>
      </c>
      <c r="K9" s="1358">
        <f t="shared" ref="K9:K19" si="0">C9+E9+G9+I9</f>
        <v>776792</v>
      </c>
      <c r="L9" s="1359">
        <f t="shared" ref="L9:L19" si="1">D9+F9+H9+J9</f>
        <v>843466</v>
      </c>
      <c r="M9" s="1358">
        <f t="shared" ref="M9:M19" si="2">C9+E9+G9+I9</f>
        <v>776792</v>
      </c>
      <c r="N9" s="1359">
        <f t="shared" ref="N9:N19" si="3">D9+F9+H9+J9</f>
        <v>843466</v>
      </c>
      <c r="O9" s="753"/>
    </row>
    <row r="10" spans="1:15" s="7" customFormat="1" ht="28.5" customHeight="1" x14ac:dyDescent="0.3">
      <c r="A10" s="874" t="s">
        <v>90</v>
      </c>
      <c r="B10" s="341" t="s">
        <v>91</v>
      </c>
      <c r="C10" s="723">
        <v>3090</v>
      </c>
      <c r="D10" s="726">
        <v>2050</v>
      </c>
      <c r="E10" s="723">
        <v>360</v>
      </c>
      <c r="F10" s="726">
        <v>500</v>
      </c>
      <c r="G10" s="723">
        <v>100</v>
      </c>
      <c r="H10" s="726">
        <v>100</v>
      </c>
      <c r="I10" s="723">
        <f>'3. Gesz költségvetés'!M38</f>
        <v>600</v>
      </c>
      <c r="J10" s="726">
        <f>'3. Gesz költségvetés'!N38</f>
        <v>800</v>
      </c>
      <c r="K10" s="723">
        <f t="shared" si="0"/>
        <v>4150</v>
      </c>
      <c r="L10" s="726">
        <f t="shared" si="1"/>
        <v>3450</v>
      </c>
      <c r="M10" s="723">
        <f t="shared" si="2"/>
        <v>4150</v>
      </c>
      <c r="N10" s="726">
        <f t="shared" si="3"/>
        <v>3450</v>
      </c>
      <c r="O10" s="753"/>
    </row>
    <row r="11" spans="1:15" s="7" customFormat="1" ht="28.5" customHeight="1" x14ac:dyDescent="0.3">
      <c r="A11" s="875" t="s">
        <v>294</v>
      </c>
      <c r="B11" s="876" t="s">
        <v>295</v>
      </c>
      <c r="C11" s="724">
        <f t="shared" ref="C11:I11" si="4">C9+C10</f>
        <v>51360</v>
      </c>
      <c r="D11" s="732">
        <f>D9+D10</f>
        <v>47807</v>
      </c>
      <c r="E11" s="724">
        <f t="shared" si="4"/>
        <v>270659</v>
      </c>
      <c r="F11" s="725">
        <f>F9+F10</f>
        <v>293280</v>
      </c>
      <c r="G11" s="724">
        <f t="shared" si="4"/>
        <v>120125</v>
      </c>
      <c r="H11" s="725">
        <f t="shared" ref="H11" si="5">H9+H10</f>
        <v>128907</v>
      </c>
      <c r="I11" s="724">
        <f t="shared" si="4"/>
        <v>338798</v>
      </c>
      <c r="J11" s="725">
        <f t="shared" ref="J11" si="6">J9+J10</f>
        <v>376922</v>
      </c>
      <c r="K11" s="724">
        <f t="shared" si="0"/>
        <v>780942</v>
      </c>
      <c r="L11" s="725">
        <f t="shared" si="1"/>
        <v>846916</v>
      </c>
      <c r="M11" s="724">
        <f t="shared" si="2"/>
        <v>780942</v>
      </c>
      <c r="N11" s="725">
        <f t="shared" si="3"/>
        <v>846916</v>
      </c>
      <c r="O11" s="753"/>
    </row>
    <row r="12" spans="1:15" s="7" customFormat="1" ht="28.5" customHeight="1" x14ac:dyDescent="0.3">
      <c r="A12" s="875" t="s">
        <v>296</v>
      </c>
      <c r="B12" s="313" t="s">
        <v>297</v>
      </c>
      <c r="C12" s="724">
        <v>9204</v>
      </c>
      <c r="D12" s="732">
        <v>8635</v>
      </c>
      <c r="E12" s="724">
        <v>60100</v>
      </c>
      <c r="F12" s="732">
        <v>58306</v>
      </c>
      <c r="G12" s="724">
        <v>26245</v>
      </c>
      <c r="H12" s="725">
        <v>26205</v>
      </c>
      <c r="I12" s="724">
        <f>'3. Gesz költségvetés'!M40</f>
        <v>81771</v>
      </c>
      <c r="J12" s="725">
        <f>'3. Gesz költségvetés'!N40</f>
        <v>78458</v>
      </c>
      <c r="K12" s="724">
        <f t="shared" si="0"/>
        <v>177320</v>
      </c>
      <c r="L12" s="725">
        <f t="shared" si="1"/>
        <v>171604</v>
      </c>
      <c r="M12" s="724">
        <f t="shared" si="2"/>
        <v>177320</v>
      </c>
      <c r="N12" s="725">
        <f t="shared" si="3"/>
        <v>171604</v>
      </c>
      <c r="O12" s="753"/>
    </row>
    <row r="13" spans="1:15" s="7" customFormat="1" ht="28.5" customHeight="1" x14ac:dyDescent="0.3">
      <c r="A13" s="875" t="s">
        <v>298</v>
      </c>
      <c r="B13" s="313" t="s">
        <v>299</v>
      </c>
      <c r="C13" s="724">
        <f>'18. Dologi kiadások cofog(K3)'!D38</f>
        <v>185780.70800000001</v>
      </c>
      <c r="D13" s="725">
        <f>'18. Dologi kiadások cofog(K3)'!E38</f>
        <v>204305</v>
      </c>
      <c r="E13" s="724">
        <f>'18. Dologi kiadások cofog(K3)'!F38</f>
        <v>211319.356</v>
      </c>
      <c r="F13" s="725">
        <f>'18. Dologi kiadások cofog(K3)'!G38</f>
        <v>194945.74174</v>
      </c>
      <c r="G13" s="724">
        <v>124045</v>
      </c>
      <c r="H13" s="725">
        <v>147924</v>
      </c>
      <c r="I13" s="724">
        <f>'3. Gesz költségvetés'!M41</f>
        <v>95291</v>
      </c>
      <c r="J13" s="725">
        <f>'3. Gesz költségvetés'!N41</f>
        <v>97642</v>
      </c>
      <c r="K13" s="724">
        <f t="shared" si="0"/>
        <v>616436.06400000001</v>
      </c>
      <c r="L13" s="725">
        <f t="shared" si="1"/>
        <v>644816.74173999997</v>
      </c>
      <c r="M13" s="724">
        <f t="shared" si="2"/>
        <v>616436.06400000001</v>
      </c>
      <c r="N13" s="725">
        <f t="shared" si="3"/>
        <v>644816.74173999997</v>
      </c>
      <c r="O13" s="753"/>
    </row>
    <row r="14" spans="1:15" s="7" customFormat="1" ht="28.5" customHeight="1" x14ac:dyDescent="0.3">
      <c r="A14" s="875" t="s">
        <v>300</v>
      </c>
      <c r="B14" s="313" t="s">
        <v>38</v>
      </c>
      <c r="C14" s="724">
        <f>'20. Ellátottak p.jutattás (K4)'!D25</f>
        <v>15566</v>
      </c>
      <c r="D14" s="725">
        <f>'20. Ellátottak p.jutattás (K4)'!E25</f>
        <v>15250</v>
      </c>
      <c r="E14" s="724">
        <f>'20. Ellátottak p.jutattás (K4)'!F25</f>
        <v>3800</v>
      </c>
      <c r="F14" s="725">
        <f>'20. Ellátottak p.jutattás (K4)'!G25</f>
        <v>4200</v>
      </c>
      <c r="G14" s="724">
        <v>0</v>
      </c>
      <c r="H14" s="725">
        <v>0</v>
      </c>
      <c r="I14" s="724">
        <v>0</v>
      </c>
      <c r="J14" s="725">
        <v>0</v>
      </c>
      <c r="K14" s="724">
        <f t="shared" si="0"/>
        <v>19366</v>
      </c>
      <c r="L14" s="725">
        <f t="shared" si="1"/>
        <v>19450</v>
      </c>
      <c r="M14" s="724">
        <f t="shared" si="2"/>
        <v>19366</v>
      </c>
      <c r="N14" s="725">
        <f t="shared" si="3"/>
        <v>19450</v>
      </c>
      <c r="O14" s="753"/>
    </row>
    <row r="15" spans="1:15" s="7" customFormat="1" ht="28.5" customHeight="1" x14ac:dyDescent="0.3">
      <c r="A15" s="874" t="s">
        <v>129</v>
      </c>
      <c r="B15" s="307" t="s">
        <v>130</v>
      </c>
      <c r="C15" s="723">
        <f>'21. Pe. átad. és tám. (K5)'!D11</f>
        <v>0</v>
      </c>
      <c r="D15" s="726">
        <f>'21. Pe. átad. és tám. (K5)'!E11</f>
        <v>7050</v>
      </c>
      <c r="E15" s="723"/>
      <c r="F15" s="726"/>
      <c r="G15" s="723">
        <v>0</v>
      </c>
      <c r="H15" s="726">
        <v>0</v>
      </c>
      <c r="I15" s="723">
        <v>0</v>
      </c>
      <c r="J15" s="726">
        <v>0</v>
      </c>
      <c r="K15" s="723">
        <f t="shared" si="0"/>
        <v>0</v>
      </c>
      <c r="L15" s="726">
        <f t="shared" si="1"/>
        <v>7050</v>
      </c>
      <c r="M15" s="723">
        <f t="shared" si="2"/>
        <v>0</v>
      </c>
      <c r="N15" s="726">
        <f t="shared" si="3"/>
        <v>7050</v>
      </c>
      <c r="O15" s="753"/>
    </row>
    <row r="16" spans="1:15" s="7" customFormat="1" ht="28.5" customHeight="1" x14ac:dyDescent="0.3">
      <c r="A16" s="874" t="s">
        <v>301</v>
      </c>
      <c r="B16" s="341" t="s">
        <v>302</v>
      </c>
      <c r="C16" s="723">
        <f>'21. Pe. átad. és tám. (K5)'!D22</f>
        <v>107182</v>
      </c>
      <c r="D16" s="726">
        <f>'21. Pe. átad. és tám. (K5)'!E22</f>
        <v>117211.31299999999</v>
      </c>
      <c r="E16" s="723"/>
      <c r="F16" s="726"/>
      <c r="G16" s="723">
        <v>0</v>
      </c>
      <c r="H16" s="726">
        <v>0</v>
      </c>
      <c r="I16" s="723">
        <v>0</v>
      </c>
      <c r="J16" s="726">
        <v>0</v>
      </c>
      <c r="K16" s="723">
        <f t="shared" si="0"/>
        <v>107182</v>
      </c>
      <c r="L16" s="726">
        <f t="shared" si="1"/>
        <v>117211.31299999999</v>
      </c>
      <c r="M16" s="723">
        <f t="shared" si="2"/>
        <v>107182</v>
      </c>
      <c r="N16" s="726">
        <f t="shared" si="3"/>
        <v>117211.31299999999</v>
      </c>
      <c r="O16" s="753"/>
    </row>
    <row r="17" spans="1:19" s="7" customFormat="1" ht="28.5" customHeight="1" x14ac:dyDescent="0.3">
      <c r="A17" s="874" t="s">
        <v>304</v>
      </c>
      <c r="B17" s="341" t="s">
        <v>303</v>
      </c>
      <c r="C17" s="723">
        <f>'21. Pe. átad. és tám. (K5)'!D32</f>
        <v>10706</v>
      </c>
      <c r="D17" s="726">
        <f>'21. Pe. átad. és tám. (K5)'!E32</f>
        <v>14820</v>
      </c>
      <c r="E17" s="723"/>
      <c r="F17" s="726"/>
      <c r="G17" s="723">
        <v>0</v>
      </c>
      <c r="H17" s="726">
        <v>0</v>
      </c>
      <c r="I17" s="723">
        <v>0</v>
      </c>
      <c r="J17" s="726">
        <v>0</v>
      </c>
      <c r="K17" s="723">
        <f t="shared" si="0"/>
        <v>10706</v>
      </c>
      <c r="L17" s="726">
        <f t="shared" si="1"/>
        <v>14820</v>
      </c>
      <c r="M17" s="723">
        <f t="shared" si="2"/>
        <v>10706</v>
      </c>
      <c r="N17" s="726">
        <f t="shared" si="3"/>
        <v>14820</v>
      </c>
      <c r="O17" s="753"/>
    </row>
    <row r="18" spans="1:19" s="7" customFormat="1" ht="28.5" customHeight="1" x14ac:dyDescent="0.3">
      <c r="A18" s="874" t="s">
        <v>776</v>
      </c>
      <c r="B18" s="1086" t="s">
        <v>92</v>
      </c>
      <c r="C18" s="723">
        <f>'21. Pe. átad. és tám. (K5)'!D36</f>
        <v>198454</v>
      </c>
      <c r="D18" s="726">
        <f>'21. Pe. átad. és tám. (K5)'!E36</f>
        <v>135448</v>
      </c>
      <c r="E18" s="723"/>
      <c r="F18" s="726"/>
      <c r="G18" s="723">
        <v>0</v>
      </c>
      <c r="H18" s="726">
        <v>0</v>
      </c>
      <c r="I18" s="723">
        <v>0</v>
      </c>
      <c r="J18" s="726">
        <v>0</v>
      </c>
      <c r="K18" s="723">
        <f t="shared" si="0"/>
        <v>198454</v>
      </c>
      <c r="L18" s="726">
        <f t="shared" si="1"/>
        <v>135448</v>
      </c>
      <c r="M18" s="723">
        <f t="shared" si="2"/>
        <v>198454</v>
      </c>
      <c r="N18" s="726">
        <f t="shared" si="3"/>
        <v>135448</v>
      </c>
      <c r="O18" s="753"/>
    </row>
    <row r="19" spans="1:19" s="7" customFormat="1" ht="28.5" customHeight="1" x14ac:dyDescent="0.3">
      <c r="A19" s="875" t="s">
        <v>307</v>
      </c>
      <c r="B19" s="313" t="s">
        <v>308</v>
      </c>
      <c r="C19" s="724">
        <f t="shared" ref="C19:E19" si="7">SUM(C15:C18)</f>
        <v>316342</v>
      </c>
      <c r="D19" s="725">
        <f>SUM(D15:D18)</f>
        <v>274529.31299999997</v>
      </c>
      <c r="E19" s="724">
        <f t="shared" si="7"/>
        <v>0</v>
      </c>
      <c r="F19" s="725">
        <f t="shared" ref="F19" si="8">SUM(F15:F18)</f>
        <v>0</v>
      </c>
      <c r="G19" s="724">
        <v>0</v>
      </c>
      <c r="H19" s="725">
        <v>0</v>
      </c>
      <c r="I19" s="724">
        <f>'3. Gesz költségvetés'!M46</f>
        <v>0</v>
      </c>
      <c r="J19" s="725">
        <f>'3. Gesz költségvetés'!N46</f>
        <v>0</v>
      </c>
      <c r="K19" s="724">
        <f t="shared" si="0"/>
        <v>316342</v>
      </c>
      <c r="L19" s="725">
        <f t="shared" si="1"/>
        <v>274529.31299999997</v>
      </c>
      <c r="M19" s="724">
        <f t="shared" si="2"/>
        <v>316342</v>
      </c>
      <c r="N19" s="725">
        <f t="shared" si="3"/>
        <v>274529.31299999997</v>
      </c>
      <c r="O19" s="753"/>
    </row>
    <row r="20" spans="1:19" s="7" customFormat="1" ht="28.5" customHeight="1" x14ac:dyDescent="0.35">
      <c r="A20" s="877" t="s">
        <v>526</v>
      </c>
      <c r="B20" s="1087" t="s">
        <v>330</v>
      </c>
      <c r="C20" s="727">
        <f t="shared" ref="C20:F20" si="9">C19+C14+C13+C12+C11</f>
        <v>578252.70799999998</v>
      </c>
      <c r="D20" s="728">
        <f t="shared" si="9"/>
        <v>550526.31299999997</v>
      </c>
      <c r="E20" s="727">
        <f t="shared" si="9"/>
        <v>545878.35600000003</v>
      </c>
      <c r="F20" s="728">
        <f t="shared" si="9"/>
        <v>550731.74173999997</v>
      </c>
      <c r="G20" s="727">
        <f>G11+G12+G13+G14+G19</f>
        <v>270415</v>
      </c>
      <c r="H20" s="728">
        <f>H11+H12+H13+H14+H19</f>
        <v>303036</v>
      </c>
      <c r="I20" s="727">
        <f>I11+I12+I13+I14+I19</f>
        <v>515860</v>
      </c>
      <c r="J20" s="728">
        <f>J11+J12+J13+J14+J19</f>
        <v>553022</v>
      </c>
      <c r="K20" s="727">
        <f t="shared" ref="K20" si="10">K11+K12+K13+K14+K19</f>
        <v>1910406.064</v>
      </c>
      <c r="L20" s="728">
        <f>L11+L12+L13+L14+L19</f>
        <v>1957316.0547400001</v>
      </c>
      <c r="M20" s="727">
        <f t="shared" ref="M20" si="11">M11+M12+M13+M14+M19</f>
        <v>1910406.064</v>
      </c>
      <c r="N20" s="728">
        <f>N11+N12+N13+N14+N19</f>
        <v>1957316.0547400001</v>
      </c>
      <c r="O20" s="753"/>
    </row>
    <row r="21" spans="1:19" s="7" customFormat="1" ht="28.5" customHeight="1" x14ac:dyDescent="0.3">
      <c r="A21" s="875" t="s">
        <v>309</v>
      </c>
      <c r="B21" s="340" t="s">
        <v>452</v>
      </c>
      <c r="C21" s="724">
        <f>'23. Beruházás (K6)'!C38</f>
        <v>265664</v>
      </c>
      <c r="D21" s="725">
        <f>'23. Beruházás (K6)'!D38</f>
        <v>284549</v>
      </c>
      <c r="E21" s="724">
        <f>'23. Beruházás (K6)'!E38</f>
        <v>11660</v>
      </c>
      <c r="F21" s="725">
        <f>'23. Beruházás (K6)'!F38</f>
        <v>6508</v>
      </c>
      <c r="G21" s="724">
        <v>635</v>
      </c>
      <c r="H21" s="725">
        <v>1794</v>
      </c>
      <c r="I21" s="724">
        <f>'3. Gesz költségvetés'!M48</f>
        <v>2973</v>
      </c>
      <c r="J21" s="725">
        <f>'3. Gesz költségvetés'!N48</f>
        <v>3049</v>
      </c>
      <c r="K21" s="724">
        <f t="shared" ref="K21:L25" si="12">C21+E21+G21+I21</f>
        <v>280932</v>
      </c>
      <c r="L21" s="725">
        <f>D21+F21+H21+J21</f>
        <v>295900</v>
      </c>
      <c r="M21" s="724">
        <f t="shared" ref="M21:N25" si="13">C21+E21+G21+I21</f>
        <v>280932</v>
      </c>
      <c r="N21" s="725">
        <f t="shared" si="13"/>
        <v>295900</v>
      </c>
      <c r="O21" s="753"/>
    </row>
    <row r="22" spans="1:19" s="7" customFormat="1" ht="28.5" customHeight="1" x14ac:dyDescent="0.3">
      <c r="A22" s="875" t="s">
        <v>310</v>
      </c>
      <c r="B22" s="313" t="s">
        <v>311</v>
      </c>
      <c r="C22" s="724">
        <f>'24. Felújítás (K7)'!C28</f>
        <v>26619</v>
      </c>
      <c r="D22" s="725">
        <f>'24. Felújítás (K7)'!D28</f>
        <v>42263</v>
      </c>
      <c r="E22" s="724">
        <f>'24. Felújítás (K7)'!E28</f>
        <v>0</v>
      </c>
      <c r="F22" s="725">
        <f>'24. Felújítás (K7)'!F28</f>
        <v>0</v>
      </c>
      <c r="G22" s="724">
        <v>0</v>
      </c>
      <c r="H22" s="725"/>
      <c r="I22" s="724">
        <f>'3. Gesz költségvetés'!M49</f>
        <v>0</v>
      </c>
      <c r="J22" s="725">
        <f>'3. Gesz költségvetés'!N49</f>
        <v>0</v>
      </c>
      <c r="K22" s="724">
        <f t="shared" si="12"/>
        <v>26619</v>
      </c>
      <c r="L22" s="725">
        <f t="shared" si="12"/>
        <v>42263</v>
      </c>
      <c r="M22" s="724">
        <f t="shared" si="13"/>
        <v>26619</v>
      </c>
      <c r="N22" s="725">
        <f t="shared" si="13"/>
        <v>42263</v>
      </c>
      <c r="O22" s="753"/>
    </row>
    <row r="23" spans="1:19" s="7" customFormat="1" ht="28.5" customHeight="1" x14ac:dyDescent="0.3">
      <c r="A23" s="874" t="s">
        <v>259</v>
      </c>
      <c r="B23" s="1086" t="s">
        <v>652</v>
      </c>
      <c r="C23" s="723">
        <f>'21. Pe. átad. és tám. (K5)'!D39</f>
        <v>0</v>
      </c>
      <c r="D23" s="726">
        <f>'21. Pe. átad. és tám. (K5)'!E39</f>
        <v>7846</v>
      </c>
      <c r="E23" s="723"/>
      <c r="F23" s="726"/>
      <c r="G23" s="723"/>
      <c r="H23" s="726"/>
      <c r="I23" s="723">
        <v>0</v>
      </c>
      <c r="J23" s="726">
        <v>0</v>
      </c>
      <c r="K23" s="723">
        <f t="shared" si="12"/>
        <v>0</v>
      </c>
      <c r="L23" s="726">
        <f t="shared" si="12"/>
        <v>7846</v>
      </c>
      <c r="M23" s="723">
        <f t="shared" si="13"/>
        <v>0</v>
      </c>
      <c r="N23" s="726">
        <f t="shared" si="13"/>
        <v>7846</v>
      </c>
      <c r="O23" s="753"/>
    </row>
    <row r="24" spans="1:19" s="7" customFormat="1" ht="28.5" customHeight="1" x14ac:dyDescent="0.3">
      <c r="A24" s="874" t="s">
        <v>846</v>
      </c>
      <c r="B24" s="1086" t="s">
        <v>847</v>
      </c>
      <c r="C24" s="723">
        <f>'21. Pe. átad. és tám. (K5)'!D41</f>
        <v>0</v>
      </c>
      <c r="D24" s="726">
        <f>'21. Pe. átad. és tám. (K5)'!E41</f>
        <v>0</v>
      </c>
      <c r="E24" s="723"/>
      <c r="F24" s="726"/>
      <c r="G24" s="723"/>
      <c r="H24" s="726"/>
      <c r="I24" s="723">
        <v>0</v>
      </c>
      <c r="J24" s="726">
        <v>0</v>
      </c>
      <c r="K24" s="723">
        <f t="shared" si="12"/>
        <v>0</v>
      </c>
      <c r="L24" s="726">
        <f t="shared" si="12"/>
        <v>0</v>
      </c>
      <c r="M24" s="723">
        <f t="shared" si="13"/>
        <v>0</v>
      </c>
      <c r="N24" s="726">
        <f t="shared" si="13"/>
        <v>0</v>
      </c>
      <c r="O24" s="753"/>
    </row>
    <row r="25" spans="1:19" s="7" customFormat="1" ht="28.5" customHeight="1" x14ac:dyDescent="0.3">
      <c r="A25" s="875" t="s">
        <v>314</v>
      </c>
      <c r="B25" s="313" t="s">
        <v>315</v>
      </c>
      <c r="C25" s="724">
        <f>C23+C24</f>
        <v>0</v>
      </c>
      <c r="D25" s="1315">
        <f>D23+D24</f>
        <v>7846</v>
      </c>
      <c r="E25" s="724"/>
      <c r="F25" s="725"/>
      <c r="G25" s="724"/>
      <c r="H25" s="725"/>
      <c r="I25" s="724">
        <f>'3. Gesz költségvetés'!M50</f>
        <v>0</v>
      </c>
      <c r="J25" s="725">
        <f>'3. Gesz költségvetés'!N50</f>
        <v>0</v>
      </c>
      <c r="K25" s="724">
        <f t="shared" si="12"/>
        <v>0</v>
      </c>
      <c r="L25" s="725">
        <f t="shared" si="12"/>
        <v>7846</v>
      </c>
      <c r="M25" s="724">
        <f t="shared" si="13"/>
        <v>0</v>
      </c>
      <c r="N25" s="725">
        <f t="shared" si="13"/>
        <v>7846</v>
      </c>
      <c r="O25" s="753"/>
    </row>
    <row r="26" spans="1:19" s="7" customFormat="1" ht="28.5" customHeight="1" x14ac:dyDescent="0.35">
      <c r="A26" s="878" t="s">
        <v>664</v>
      </c>
      <c r="B26" s="1087" t="s">
        <v>331</v>
      </c>
      <c r="C26" s="727">
        <f t="shared" ref="C26:F26" si="14">C21+C22+C25</f>
        <v>292283</v>
      </c>
      <c r="D26" s="728">
        <f t="shared" si="14"/>
        <v>334658</v>
      </c>
      <c r="E26" s="727">
        <f t="shared" si="14"/>
        <v>11660</v>
      </c>
      <c r="F26" s="728">
        <f t="shared" si="14"/>
        <v>6508</v>
      </c>
      <c r="G26" s="727">
        <f t="shared" ref="G26:H26" si="15">SUM(G21:G25)</f>
        <v>635</v>
      </c>
      <c r="H26" s="728">
        <f t="shared" si="15"/>
        <v>1794</v>
      </c>
      <c r="I26" s="727">
        <f>SUM(I21:I25)</f>
        <v>2973</v>
      </c>
      <c r="J26" s="728">
        <f>SUM(J21:J25)</f>
        <v>3049</v>
      </c>
      <c r="K26" s="727">
        <f>SUM(K21:K24)</f>
        <v>307551</v>
      </c>
      <c r="L26" s="728">
        <f>SUM(L21:L24)</f>
        <v>346009</v>
      </c>
      <c r="M26" s="727">
        <f>SUM(M21:M24)</f>
        <v>307551</v>
      </c>
      <c r="N26" s="728">
        <f>SUM(N21:N24)</f>
        <v>346009</v>
      </c>
      <c r="O26" s="753"/>
    </row>
    <row r="27" spans="1:19" s="7" customFormat="1" ht="28.5" customHeight="1" x14ac:dyDescent="0.3">
      <c r="A27" s="342" t="s">
        <v>316</v>
      </c>
      <c r="B27" s="309" t="s">
        <v>317</v>
      </c>
      <c r="C27" s="729">
        <f t="shared" ref="C27:G27" si="16">C20+C26</f>
        <v>870535.70799999998</v>
      </c>
      <c r="D27" s="730">
        <f t="shared" ref="D27" si="17">D20+D26</f>
        <v>885184.31299999997</v>
      </c>
      <c r="E27" s="729">
        <f>E20+E26</f>
        <v>557538.35600000003</v>
      </c>
      <c r="F27" s="730">
        <f>F20+F26</f>
        <v>557239.74173999997</v>
      </c>
      <c r="G27" s="729">
        <f t="shared" si="16"/>
        <v>271050</v>
      </c>
      <c r="H27" s="730">
        <f t="shared" ref="H27" si="18">H20+H26</f>
        <v>304830</v>
      </c>
      <c r="I27" s="729">
        <f t="shared" ref="I27:J27" si="19">I20+I26</f>
        <v>518833</v>
      </c>
      <c r="J27" s="730">
        <f t="shared" si="19"/>
        <v>556071</v>
      </c>
      <c r="K27" s="729">
        <f>K20+K26</f>
        <v>2217957.0640000002</v>
      </c>
      <c r="L27" s="730">
        <f>L20+L26</f>
        <v>2303325.0547400001</v>
      </c>
      <c r="M27" s="729">
        <f t="shared" ref="M27:N27" si="20">M20+M26</f>
        <v>2217957.0640000002</v>
      </c>
      <c r="N27" s="730">
        <f t="shared" si="20"/>
        <v>2303325.0547400001</v>
      </c>
      <c r="O27" s="753"/>
    </row>
    <row r="28" spans="1:19" s="791" customFormat="1" ht="28.5" customHeight="1" x14ac:dyDescent="0.3">
      <c r="A28" s="879"/>
      <c r="B28" s="1088" t="s">
        <v>94</v>
      </c>
      <c r="C28" s="723">
        <f>'17. finanszírozás be_ki (B8,K9)'!D26</f>
        <v>1320</v>
      </c>
      <c r="D28" s="726">
        <f>'17. finanszírozás be_ki (B8,K9)'!E26</f>
        <v>1320</v>
      </c>
      <c r="E28" s="723"/>
      <c r="F28" s="726"/>
      <c r="G28" s="723"/>
      <c r="H28" s="726"/>
      <c r="I28" s="723"/>
      <c r="J28" s="726"/>
      <c r="K28" s="723">
        <f t="shared" ref="K28:L33" si="21">C28+E28+G28+I28</f>
        <v>1320</v>
      </c>
      <c r="L28" s="726">
        <f t="shared" si="21"/>
        <v>1320</v>
      </c>
      <c r="M28" s="723">
        <f t="shared" ref="M28:N32" si="22">C28+E28+G28+I28</f>
        <v>1320</v>
      </c>
      <c r="N28" s="726">
        <f t="shared" si="22"/>
        <v>1320</v>
      </c>
      <c r="O28" s="753"/>
    </row>
    <row r="29" spans="1:19" s="7" customFormat="1" ht="28.5" customHeight="1" x14ac:dyDescent="0.3">
      <c r="A29" s="879"/>
      <c r="B29" s="307" t="s">
        <v>347</v>
      </c>
      <c r="C29" s="1091">
        <f>'17. finanszírozás be_ki (B8,K9)'!D27</f>
        <v>0</v>
      </c>
      <c r="D29" s="790">
        <f>'17. finanszírozás be_ki (B8,K9)'!E27</f>
        <v>0</v>
      </c>
      <c r="E29" s="1091"/>
      <c r="F29" s="790"/>
      <c r="G29" s="1091"/>
      <c r="H29" s="790"/>
      <c r="I29" s="1091"/>
      <c r="J29" s="790"/>
      <c r="K29" s="1091">
        <f t="shared" si="21"/>
        <v>0</v>
      </c>
      <c r="L29" s="790">
        <f t="shared" si="21"/>
        <v>0</v>
      </c>
      <c r="M29" s="1091">
        <f t="shared" si="22"/>
        <v>0</v>
      </c>
      <c r="N29" s="790">
        <f t="shared" si="22"/>
        <v>0</v>
      </c>
      <c r="O29" s="753"/>
      <c r="P29" s="324"/>
      <c r="Q29" s="324"/>
      <c r="R29" s="333"/>
      <c r="S29" s="333"/>
    </row>
    <row r="30" spans="1:19" s="7" customFormat="1" ht="28.5" customHeight="1" x14ac:dyDescent="0.3">
      <c r="A30" s="879" t="s">
        <v>318</v>
      </c>
      <c r="B30" s="313" t="s">
        <v>319</v>
      </c>
      <c r="C30" s="731">
        <f>SUM(C28:C29)</f>
        <v>1320</v>
      </c>
      <c r="D30" s="732">
        <f>SUM(D28:D29)</f>
        <v>1320</v>
      </c>
      <c r="E30" s="731"/>
      <c r="F30" s="732"/>
      <c r="G30" s="731"/>
      <c r="H30" s="732"/>
      <c r="I30" s="731"/>
      <c r="J30" s="732"/>
      <c r="K30" s="731">
        <f t="shared" si="21"/>
        <v>1320</v>
      </c>
      <c r="L30" s="732">
        <f t="shared" si="21"/>
        <v>1320</v>
      </c>
      <c r="M30" s="731">
        <f t="shared" si="22"/>
        <v>1320</v>
      </c>
      <c r="N30" s="732">
        <f t="shared" si="22"/>
        <v>1320</v>
      </c>
      <c r="O30" s="753"/>
      <c r="P30" s="324"/>
      <c r="Q30" s="324"/>
      <c r="R30" s="333"/>
      <c r="S30" s="333"/>
    </row>
    <row r="31" spans="1:19" s="7" customFormat="1" ht="28.5" customHeight="1" x14ac:dyDescent="0.3">
      <c r="A31" s="879" t="s">
        <v>320</v>
      </c>
      <c r="B31" s="313" t="str">
        <f>'17. finanszírozás be_ki (B8,K9)'!C30</f>
        <v xml:space="preserve">Belföldi értékpapírok kiadásai </v>
      </c>
      <c r="C31" s="731"/>
      <c r="D31" s="732">
        <f>'17. finanszírozás be_ki (B8,K9)'!E30</f>
        <v>0</v>
      </c>
      <c r="E31" s="731"/>
      <c r="F31" s="732"/>
      <c r="G31" s="731"/>
      <c r="H31" s="732"/>
      <c r="I31" s="731"/>
      <c r="J31" s="732"/>
      <c r="K31" s="731">
        <f t="shared" si="21"/>
        <v>0</v>
      </c>
      <c r="L31" s="732">
        <f t="shared" si="21"/>
        <v>0</v>
      </c>
      <c r="M31" s="731">
        <f t="shared" si="22"/>
        <v>0</v>
      </c>
      <c r="N31" s="732">
        <f t="shared" si="22"/>
        <v>0</v>
      </c>
      <c r="O31" s="753"/>
      <c r="P31" s="324"/>
      <c r="Q31" s="324"/>
      <c r="R31" s="333"/>
      <c r="S31" s="333"/>
    </row>
    <row r="32" spans="1:19" s="7" customFormat="1" ht="28.5" customHeight="1" x14ac:dyDescent="0.3">
      <c r="A32" s="879" t="s">
        <v>714</v>
      </c>
      <c r="B32" s="313" t="s">
        <v>824</v>
      </c>
      <c r="C32" s="731">
        <f>'17. finanszírozás be_ki (B8,K9)'!D31</f>
        <v>20599</v>
      </c>
      <c r="D32" s="732">
        <f>'17. finanszírozás be_ki (B8,K9)'!E31</f>
        <v>21436</v>
      </c>
      <c r="E32" s="731"/>
      <c r="F32" s="732"/>
      <c r="G32" s="731"/>
      <c r="H32" s="732"/>
      <c r="I32" s="731"/>
      <c r="J32" s="732"/>
      <c r="K32" s="731">
        <f t="shared" si="21"/>
        <v>20599</v>
      </c>
      <c r="L32" s="732">
        <f t="shared" si="21"/>
        <v>21436</v>
      </c>
      <c r="M32" s="731">
        <f t="shared" si="22"/>
        <v>20599</v>
      </c>
      <c r="N32" s="732">
        <f t="shared" si="22"/>
        <v>21436</v>
      </c>
      <c r="O32" s="753"/>
      <c r="P32" s="324"/>
      <c r="Q32" s="324"/>
      <c r="R32" s="333"/>
      <c r="S32" s="333"/>
    </row>
    <row r="33" spans="1:19" s="7" customFormat="1" ht="28.5" customHeight="1" x14ac:dyDescent="0.3">
      <c r="A33" s="879" t="s">
        <v>332</v>
      </c>
      <c r="B33" s="340" t="s">
        <v>93</v>
      </c>
      <c r="C33" s="731">
        <f>'3. Gesz költségvetés'!M33+'2.Bevételek_részletes'!E44+'2.Bevételek_részletes'!G44</f>
        <v>930477.18200000003</v>
      </c>
      <c r="D33" s="731">
        <f>'3. Gesz költségvetés'!N33+'2.Bevételek_részletes'!F44+'2.Bevételek_részletes'!H44</f>
        <v>945572.37173999997</v>
      </c>
      <c r="E33" s="731"/>
      <c r="F33" s="732"/>
      <c r="G33" s="731"/>
      <c r="H33" s="732"/>
      <c r="I33" s="731"/>
      <c r="J33" s="732"/>
      <c r="K33" s="731">
        <f t="shared" si="21"/>
        <v>930477.18200000003</v>
      </c>
      <c r="L33" s="732">
        <f t="shared" si="21"/>
        <v>945572.37173999997</v>
      </c>
      <c r="M33" s="731"/>
      <c r="N33" s="732"/>
      <c r="O33" s="753"/>
      <c r="P33" s="328"/>
      <c r="Q33" s="328"/>
      <c r="R33" s="333"/>
      <c r="S33" s="333"/>
    </row>
    <row r="34" spans="1:19" s="7" customFormat="1" ht="28.5" customHeight="1" x14ac:dyDescent="0.3">
      <c r="A34" s="879" t="s">
        <v>322</v>
      </c>
      <c r="B34" s="340" t="s">
        <v>323</v>
      </c>
      <c r="C34" s="731">
        <f>C30+C33+C32</f>
        <v>952396.18200000003</v>
      </c>
      <c r="D34" s="732">
        <f>D30+D33+D32+D31</f>
        <v>968328.37173999997</v>
      </c>
      <c r="E34" s="731">
        <f t="shared" ref="E34:G34" si="23">E30+E33</f>
        <v>0</v>
      </c>
      <c r="F34" s="732">
        <f t="shared" ref="F34" si="24">F30+F33</f>
        <v>0</v>
      </c>
      <c r="G34" s="731">
        <f t="shared" si="23"/>
        <v>0</v>
      </c>
      <c r="H34" s="732">
        <f t="shared" ref="H34" si="25">H30+H33</f>
        <v>0</v>
      </c>
      <c r="I34" s="731">
        <f t="shared" ref="I34:J34" si="26">I30+I33</f>
        <v>0</v>
      </c>
      <c r="J34" s="732">
        <f t="shared" si="26"/>
        <v>0</v>
      </c>
      <c r="K34" s="731">
        <f>K30+K33+K32</f>
        <v>952396.18200000003</v>
      </c>
      <c r="L34" s="732">
        <f>L30+L33+L32+L31</f>
        <v>968328.37173999997</v>
      </c>
      <c r="M34" s="731">
        <f>M30+M33+M32</f>
        <v>21919</v>
      </c>
      <c r="N34" s="732">
        <f>N30+N33+N32+N31</f>
        <v>22756</v>
      </c>
      <c r="O34" s="753"/>
      <c r="P34" s="343"/>
      <c r="Q34" s="343"/>
      <c r="R34" s="333"/>
      <c r="S34" s="333"/>
    </row>
    <row r="35" spans="1:19" s="7" customFormat="1" ht="28.5" customHeight="1" thickBot="1" x14ac:dyDescent="0.35">
      <c r="A35" s="1089"/>
      <c r="B35" s="1090" t="s">
        <v>665</v>
      </c>
      <c r="C35" s="1085">
        <f>C34+C27</f>
        <v>1822931.8900000001</v>
      </c>
      <c r="D35" s="1083">
        <f>D34+D27</f>
        <v>1853512.6847399999</v>
      </c>
      <c r="E35" s="1085">
        <f t="shared" ref="E35:M35" si="27">E27+E34</f>
        <v>557538.35600000003</v>
      </c>
      <c r="F35" s="1083">
        <f t="shared" ref="F35" si="28">F27+F34</f>
        <v>557239.74173999997</v>
      </c>
      <c r="G35" s="1085">
        <f t="shared" si="27"/>
        <v>271050</v>
      </c>
      <c r="H35" s="1083">
        <f t="shared" ref="H35" si="29">H27+H34</f>
        <v>304830</v>
      </c>
      <c r="I35" s="1085">
        <f t="shared" si="27"/>
        <v>518833</v>
      </c>
      <c r="J35" s="1083">
        <f t="shared" ref="J35" si="30">J27+J34</f>
        <v>556071</v>
      </c>
      <c r="K35" s="1085">
        <f t="shared" si="27"/>
        <v>3170353.2460000003</v>
      </c>
      <c r="L35" s="1083">
        <f t="shared" ref="L35" si="31">L27+L34</f>
        <v>3271653.4264799999</v>
      </c>
      <c r="M35" s="1085">
        <f t="shared" si="27"/>
        <v>2239876.0640000002</v>
      </c>
      <c r="N35" s="1083">
        <f>N27+N34</f>
        <v>2326081.0547400001</v>
      </c>
      <c r="O35" s="753"/>
      <c r="P35" s="333"/>
      <c r="Q35" s="333"/>
      <c r="R35" s="333"/>
      <c r="S35" s="333"/>
    </row>
    <row r="36" spans="1:19" x14ac:dyDescent="0.25">
      <c r="A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19" x14ac:dyDescent="0.25">
      <c r="A37" s="47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47"/>
      <c r="P37" s="47"/>
      <c r="Q37" s="47"/>
      <c r="R37" s="47"/>
      <c r="S37" s="47"/>
    </row>
    <row r="38" spans="1:19" ht="29.25" customHeight="1" x14ac:dyDescent="0.25">
      <c r="A38" s="47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47"/>
      <c r="P38" s="47"/>
      <c r="Q38" s="47"/>
      <c r="R38" s="47"/>
      <c r="S38" s="47"/>
    </row>
    <row r="39" spans="1:19" ht="18.75" x14ac:dyDescent="0.3">
      <c r="A39" s="47"/>
      <c r="B39" s="301"/>
      <c r="C39" s="90"/>
      <c r="D39" s="90"/>
      <c r="E39" s="47"/>
      <c r="F39" s="47"/>
      <c r="G39" s="47"/>
      <c r="H39" s="47"/>
      <c r="I39" s="47"/>
      <c r="J39" s="47"/>
      <c r="K39" s="90"/>
      <c r="L39" s="90"/>
      <c r="M39" s="90"/>
      <c r="N39" s="90"/>
      <c r="O39" s="47"/>
      <c r="P39" s="47"/>
      <c r="Q39" s="47"/>
      <c r="R39" s="47"/>
      <c r="S39" s="47"/>
    </row>
    <row r="40" spans="1:19" ht="18.75" x14ac:dyDescent="0.3">
      <c r="A40" s="47"/>
      <c r="B40" s="301"/>
      <c r="C40" s="90"/>
      <c r="D40" s="90"/>
      <c r="E40" s="47"/>
      <c r="F40" s="47"/>
      <c r="G40" s="47"/>
      <c r="H40" s="47"/>
      <c r="I40" s="47"/>
      <c r="J40" s="47"/>
      <c r="K40" s="90"/>
      <c r="L40" s="90"/>
      <c r="M40" s="90"/>
      <c r="N40" s="90"/>
      <c r="O40" s="47"/>
      <c r="P40" s="47"/>
      <c r="Q40" s="47"/>
      <c r="R40" s="47"/>
      <c r="S40" s="47"/>
    </row>
    <row r="41" spans="1:19" ht="18.75" x14ac:dyDescent="0.3">
      <c r="A41" s="47"/>
      <c r="B41" s="301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x14ac:dyDescent="0.25">
      <c r="A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19" x14ac:dyDescent="0.25">
      <c r="A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19" x14ac:dyDescent="0.25">
      <c r="A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19" x14ac:dyDescent="0.25">
      <c r="A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 x14ac:dyDescent="0.25">
      <c r="A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x14ac:dyDescent="0.25">
      <c r="A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x14ac:dyDescent="0.25">
      <c r="A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x14ac:dyDescent="0.25">
      <c r="A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x14ac:dyDescent="0.25">
      <c r="A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x14ac:dyDescent="0.25">
      <c r="A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x14ac:dyDescent="0.25">
      <c r="A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x14ac:dyDescent="0.25">
      <c r="A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x14ac:dyDescent="0.25">
      <c r="A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x14ac:dyDescent="0.25">
      <c r="A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x14ac:dyDescent="0.25">
      <c r="A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x14ac:dyDescent="0.25">
      <c r="A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19" x14ac:dyDescent="0.25">
      <c r="A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19" x14ac:dyDescent="0.25">
      <c r="A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</row>
    <row r="60" spans="1:19" x14ac:dyDescent="0.25">
      <c r="A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</row>
    <row r="61" spans="1:19" x14ac:dyDescent="0.25">
      <c r="A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</row>
    <row r="62" spans="1:19" x14ac:dyDescent="0.25">
      <c r="A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19" x14ac:dyDescent="0.25">
      <c r="A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</row>
    <row r="64" spans="1:19" x14ac:dyDescent="0.25">
      <c r="A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</row>
    <row r="65" spans="1:19" x14ac:dyDescent="0.25">
      <c r="A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x14ac:dyDescent="0.25">
      <c r="A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7" spans="1:19" x14ac:dyDescent="0.25">
      <c r="A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x14ac:dyDescent="0.25">
      <c r="A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x14ac:dyDescent="0.25">
      <c r="A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x14ac:dyDescent="0.25">
      <c r="A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1:19" x14ac:dyDescent="0.25">
      <c r="A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</row>
    <row r="72" spans="1:19" x14ac:dyDescent="0.25">
      <c r="A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x14ac:dyDescent="0.25">
      <c r="A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  <row r="74" spans="1:19" x14ac:dyDescent="0.25">
      <c r="A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1:19" x14ac:dyDescent="0.25">
      <c r="A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</row>
    <row r="76" spans="1:19" x14ac:dyDescent="0.25">
      <c r="A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</row>
    <row r="77" spans="1:19" x14ac:dyDescent="0.25">
      <c r="A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1:19" x14ac:dyDescent="0.25">
      <c r="A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</row>
  </sheetData>
  <mergeCells count="3">
    <mergeCell ref="A1:N1"/>
    <mergeCell ref="A3:N3"/>
    <mergeCell ref="A4:N4"/>
  </mergeCells>
  <phoneticPr fontId="57" type="noConversion"/>
  <pageMargins left="0.2" right="0.15" top="1" bottom="1" header="0.5" footer="0.5"/>
  <pageSetup paperSize="8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3" tint="0.39997558519241921"/>
    <pageSetUpPr fitToPage="1"/>
  </sheetPr>
  <dimension ref="A1:Q58"/>
  <sheetViews>
    <sheetView view="pageBreakPreview" zoomScale="70" zoomScaleSheetLayoutView="70" workbookViewId="0">
      <pane xSplit="2" ySplit="9" topLeftCell="C10" activePane="bottomRight" state="frozen"/>
      <selection activeCell="C26" sqref="C26"/>
      <selection pane="topRight" activeCell="C26" sqref="C26"/>
      <selection pane="bottomLeft" activeCell="C26" sqref="C26"/>
      <selection pane="bottomRight" sqref="A1:N1"/>
    </sheetView>
  </sheetViews>
  <sheetFormatPr defaultColWidth="16.42578125" defaultRowHeight="18.75" x14ac:dyDescent="0.3"/>
  <cols>
    <col min="1" max="1" width="13.7109375" style="301" customWidth="1"/>
    <col min="2" max="2" width="87.5703125" style="301" customWidth="1"/>
    <col min="3" max="6" width="20.42578125" style="812" customWidth="1"/>
    <col min="7" max="8" width="19.5703125" style="812" customWidth="1"/>
    <col min="9" max="12" width="20.42578125" style="812" customWidth="1"/>
    <col min="13" max="14" width="18.42578125" style="812" customWidth="1"/>
    <col min="15" max="247" width="9.140625" style="301" customWidth="1"/>
    <col min="248" max="248" width="92.5703125" style="301" customWidth="1"/>
    <col min="249" max="249" width="9.140625" style="301" customWidth="1"/>
    <col min="250" max="16384" width="16.42578125" style="301"/>
  </cols>
  <sheetData>
    <row r="1" spans="1:17" ht="27" customHeight="1" x14ac:dyDescent="0.35">
      <c r="A1" s="1824" t="str">
        <f>Tartalomjegyzék_2018!A1</f>
        <v>Pilisvörösvár Város Önkormányzata Képviselő-testületének 2/2018. (II. 9.) önkormányzati rendelete</v>
      </c>
      <c r="B1" s="1824"/>
      <c r="C1" s="1824"/>
      <c r="D1" s="1824"/>
      <c r="E1" s="1824"/>
      <c r="F1" s="1824"/>
      <c r="G1" s="1824"/>
      <c r="H1" s="1824"/>
      <c r="I1" s="1829"/>
      <c r="J1" s="1829"/>
      <c r="K1" s="1829"/>
      <c r="L1" s="1829"/>
      <c r="M1" s="1827"/>
      <c r="N1" s="1827"/>
    </row>
    <row r="2" spans="1:17" ht="8.25" customHeight="1" x14ac:dyDescent="0.35">
      <c r="A2" s="1038"/>
      <c r="B2" s="1038"/>
      <c r="C2" s="1039"/>
      <c r="D2" s="1039"/>
      <c r="E2" s="1039"/>
      <c r="F2" s="1039"/>
      <c r="G2" s="1039"/>
      <c r="H2" s="1039"/>
      <c r="I2" s="1040"/>
      <c r="J2" s="1040"/>
      <c r="K2" s="1040"/>
      <c r="L2" s="1040"/>
    </row>
    <row r="3" spans="1:17" ht="19.5" customHeight="1" x14ac:dyDescent="0.35">
      <c r="A3" s="1824" t="str">
        <f>'2.Kiadások_részletes '!A3:L3</f>
        <v>az Önkormányzat  2018. évi költségvetéséről</v>
      </c>
      <c r="B3" s="1824"/>
      <c r="C3" s="1824"/>
      <c r="D3" s="1824"/>
      <c r="E3" s="1824"/>
      <c r="F3" s="1824"/>
      <c r="G3" s="1824"/>
      <c r="H3" s="1824"/>
      <c r="I3" s="1829"/>
      <c r="J3" s="1829"/>
      <c r="K3" s="1829"/>
      <c r="L3" s="1829"/>
      <c r="M3" s="1827"/>
      <c r="N3" s="1827"/>
    </row>
    <row r="4" spans="1:17" ht="9.75" customHeight="1" x14ac:dyDescent="0.35">
      <c r="A4" s="1038"/>
      <c r="B4" s="1038"/>
      <c r="C4" s="1039"/>
      <c r="D4" s="1039"/>
      <c r="E4" s="1039"/>
      <c r="F4" s="1039"/>
      <c r="G4" s="1039"/>
      <c r="H4" s="1039"/>
      <c r="I4" s="1040"/>
      <c r="J4" s="1040"/>
      <c r="K4" s="1040"/>
      <c r="L4" s="1040"/>
    </row>
    <row r="5" spans="1:17" ht="21" customHeight="1" x14ac:dyDescent="0.35">
      <c r="A5" s="1824" t="str">
        <f>Tartalomjegyzék_2018!B10</f>
        <v xml:space="preserve">GESZ, Pilisvörösvár és Intézményei működési és felhalmozási célú bevételi és kiadási előirányzatok részletes bemutatása </v>
      </c>
      <c r="B5" s="1824"/>
      <c r="C5" s="1824"/>
      <c r="D5" s="1824"/>
      <c r="E5" s="1824"/>
      <c r="F5" s="1824"/>
      <c r="G5" s="1824"/>
      <c r="H5" s="1824"/>
      <c r="I5" s="1829"/>
      <c r="J5" s="1829"/>
      <c r="K5" s="1829"/>
      <c r="L5" s="1829"/>
      <c r="M5" s="1827"/>
      <c r="N5" s="1827"/>
      <c r="O5" s="965"/>
      <c r="P5" s="965"/>
      <c r="Q5" s="965"/>
    </row>
    <row r="6" spans="1:17" ht="23.25" x14ac:dyDescent="0.3">
      <c r="A6" s="297"/>
      <c r="B6" s="297"/>
      <c r="C6" s="811"/>
      <c r="D6" s="811"/>
      <c r="E6" s="811"/>
      <c r="F6" s="811"/>
      <c r="G6" s="811"/>
      <c r="H6" s="811"/>
      <c r="I6" s="814"/>
      <c r="J6" s="814"/>
      <c r="K6" s="814"/>
      <c r="L6" s="814"/>
      <c r="M6" s="301"/>
      <c r="N6" s="1047" t="s">
        <v>12</v>
      </c>
      <c r="O6" s="733"/>
      <c r="P6" s="733"/>
      <c r="Q6" s="733"/>
    </row>
    <row r="7" spans="1:17" ht="23.25" x14ac:dyDescent="0.3">
      <c r="A7" s="733"/>
      <c r="B7" s="733"/>
      <c r="C7" s="811"/>
      <c r="D7" s="811"/>
      <c r="E7" s="811"/>
      <c r="F7" s="811"/>
      <c r="G7" s="811"/>
      <c r="H7" s="811"/>
      <c r="I7" s="814"/>
      <c r="J7" s="814"/>
      <c r="K7" s="814"/>
      <c r="L7" s="814"/>
      <c r="M7" s="301"/>
      <c r="N7" s="1047"/>
      <c r="O7" s="733"/>
      <c r="P7" s="733"/>
      <c r="Q7" s="733"/>
    </row>
    <row r="8" spans="1:17" ht="24" thickBot="1" x14ac:dyDescent="0.4">
      <c r="M8" s="301"/>
      <c r="N8" s="1048" t="s">
        <v>329</v>
      </c>
    </row>
    <row r="9" spans="1:17" ht="142.5" customHeight="1" thickBot="1" x14ac:dyDescent="0.35">
      <c r="A9" s="1378" t="s">
        <v>370</v>
      </c>
      <c r="B9" s="1379" t="s">
        <v>365</v>
      </c>
      <c r="C9" s="1378" t="s">
        <v>862</v>
      </c>
      <c r="D9" s="1380" t="s">
        <v>958</v>
      </c>
      <c r="E9" s="1378" t="s">
        <v>863</v>
      </c>
      <c r="F9" s="1380" t="s">
        <v>959</v>
      </c>
      <c r="G9" s="1378" t="s">
        <v>864</v>
      </c>
      <c r="H9" s="1380" t="s">
        <v>960</v>
      </c>
      <c r="I9" s="1378" t="s">
        <v>865</v>
      </c>
      <c r="J9" s="1380" t="s">
        <v>961</v>
      </c>
      <c r="K9" s="1378" t="s">
        <v>866</v>
      </c>
      <c r="L9" s="1380" t="s">
        <v>962</v>
      </c>
      <c r="M9" s="1378" t="s">
        <v>867</v>
      </c>
      <c r="N9" s="1380" t="s">
        <v>963</v>
      </c>
    </row>
    <row r="10" spans="1:17" s="302" customFormat="1" ht="21" customHeight="1" x14ac:dyDescent="0.3">
      <c r="A10" s="1374" t="s">
        <v>385</v>
      </c>
      <c r="B10" s="1375" t="s">
        <v>524</v>
      </c>
      <c r="C10" s="1376">
        <v>0</v>
      </c>
      <c r="D10" s="1377">
        <v>0</v>
      </c>
      <c r="E10" s="1376">
        <v>0</v>
      </c>
      <c r="F10" s="1377">
        <v>0</v>
      </c>
      <c r="G10" s="1376">
        <v>0</v>
      </c>
      <c r="H10" s="1377">
        <v>0</v>
      </c>
      <c r="I10" s="1376">
        <v>0</v>
      </c>
      <c r="J10" s="1377">
        <v>0</v>
      </c>
      <c r="K10" s="1376">
        <v>0</v>
      </c>
      <c r="L10" s="1377">
        <v>0</v>
      </c>
      <c r="M10" s="1376">
        <v>0</v>
      </c>
      <c r="N10" s="1377">
        <v>0</v>
      </c>
    </row>
    <row r="11" spans="1:17" s="302" customFormat="1" ht="25.5" customHeight="1" x14ac:dyDescent="0.3">
      <c r="A11" s="880" t="s">
        <v>389</v>
      </c>
      <c r="B11" s="1366" t="s">
        <v>525</v>
      </c>
      <c r="C11" s="1094">
        <v>0</v>
      </c>
      <c r="D11" s="1218">
        <v>0</v>
      </c>
      <c r="E11" s="1094">
        <v>0</v>
      </c>
      <c r="F11" s="1218">
        <v>0</v>
      </c>
      <c r="G11" s="1094">
        <v>0</v>
      </c>
      <c r="H11" s="1218">
        <v>0</v>
      </c>
      <c r="I11" s="1094">
        <v>0</v>
      </c>
      <c r="J11" s="1218">
        <v>0</v>
      </c>
      <c r="K11" s="1094">
        <v>0</v>
      </c>
      <c r="L11" s="1218">
        <v>0</v>
      </c>
      <c r="M11" s="1094">
        <v>0</v>
      </c>
      <c r="N11" s="1218">
        <v>0</v>
      </c>
    </row>
    <row r="12" spans="1:17" ht="21" customHeight="1" x14ac:dyDescent="0.3">
      <c r="A12" s="1209"/>
      <c r="B12" s="1196" t="s">
        <v>790</v>
      </c>
      <c r="C12" s="1095">
        <v>0</v>
      </c>
      <c r="D12" s="1219">
        <v>0</v>
      </c>
      <c r="E12" s="1095">
        <v>0</v>
      </c>
      <c r="F12" s="1219">
        <v>0</v>
      </c>
      <c r="G12" s="1095">
        <v>0</v>
      </c>
      <c r="H12" s="1219">
        <v>0</v>
      </c>
      <c r="I12" s="1095">
        <v>0</v>
      </c>
      <c r="J12" s="1219">
        <v>0</v>
      </c>
      <c r="K12" s="1095">
        <v>0</v>
      </c>
      <c r="L12" s="1219">
        <v>0</v>
      </c>
      <c r="M12" s="1095">
        <v>0</v>
      </c>
      <c r="N12" s="1219">
        <v>0</v>
      </c>
    </row>
    <row r="13" spans="1:17" ht="21" customHeight="1" x14ac:dyDescent="0.3">
      <c r="A13" s="1209"/>
      <c r="B13" s="1196" t="s">
        <v>789</v>
      </c>
      <c r="C13" s="1095">
        <v>0</v>
      </c>
      <c r="D13" s="1219">
        <v>0</v>
      </c>
      <c r="E13" s="1095">
        <v>0</v>
      </c>
      <c r="F13" s="1219">
        <v>0</v>
      </c>
      <c r="G13" s="1095">
        <v>5374</v>
      </c>
      <c r="H13" s="1219">
        <v>5442</v>
      </c>
      <c r="I13" s="1095">
        <v>0</v>
      </c>
      <c r="J13" s="1219">
        <v>0</v>
      </c>
      <c r="K13" s="1095">
        <v>0</v>
      </c>
      <c r="L13" s="1219">
        <v>0</v>
      </c>
      <c r="M13" s="1095">
        <v>5374</v>
      </c>
      <c r="N13" s="1218">
        <f>D13+F13+H13+J13+L13</f>
        <v>5442</v>
      </c>
    </row>
    <row r="14" spans="1:17" s="760" customFormat="1" ht="21" customHeight="1" x14ac:dyDescent="0.35">
      <c r="A14" s="881" t="s">
        <v>396</v>
      </c>
      <c r="B14" s="1367" t="s">
        <v>395</v>
      </c>
      <c r="C14" s="1094">
        <f>SUM(C12:C13)</f>
        <v>0</v>
      </c>
      <c r="D14" s="1218">
        <f t="shared" ref="D14:M14" si="0">SUM(D12:D13)</f>
        <v>0</v>
      </c>
      <c r="E14" s="1094">
        <f t="shared" si="0"/>
        <v>0</v>
      </c>
      <c r="F14" s="1218">
        <f t="shared" si="0"/>
        <v>0</v>
      </c>
      <c r="G14" s="1094">
        <f t="shared" si="0"/>
        <v>5374</v>
      </c>
      <c r="H14" s="1218">
        <f t="shared" si="0"/>
        <v>5442</v>
      </c>
      <c r="I14" s="1094">
        <f t="shared" si="0"/>
        <v>0</v>
      </c>
      <c r="J14" s="1218">
        <f t="shared" si="0"/>
        <v>0</v>
      </c>
      <c r="K14" s="1094">
        <f t="shared" si="0"/>
        <v>0</v>
      </c>
      <c r="L14" s="1218">
        <f t="shared" si="0"/>
        <v>0</v>
      </c>
      <c r="M14" s="1094">
        <f t="shared" si="0"/>
        <v>5374</v>
      </c>
      <c r="N14" s="1218">
        <f t="shared" ref="N14" si="1">SUM(N12:N13)</f>
        <v>5442</v>
      </c>
    </row>
    <row r="15" spans="1:17" ht="21" customHeight="1" x14ac:dyDescent="0.3">
      <c r="A15" s="883"/>
      <c r="B15" s="1196" t="s">
        <v>791</v>
      </c>
      <c r="C15" s="1095">
        <v>0</v>
      </c>
      <c r="D15" s="1219">
        <v>0</v>
      </c>
      <c r="E15" s="1095">
        <v>0</v>
      </c>
      <c r="F15" s="1219">
        <v>0</v>
      </c>
      <c r="G15" s="1095">
        <v>0</v>
      </c>
      <c r="H15" s="1219">
        <v>0</v>
      </c>
      <c r="I15" s="1095">
        <v>0</v>
      </c>
      <c r="J15" s="1219">
        <v>0</v>
      </c>
      <c r="K15" s="1095">
        <v>0</v>
      </c>
      <c r="L15" s="1219">
        <v>0</v>
      </c>
      <c r="M15" s="1095">
        <v>0</v>
      </c>
      <c r="N15" s="1219">
        <v>0</v>
      </c>
    </row>
    <row r="16" spans="1:17" ht="21" customHeight="1" x14ac:dyDescent="0.3">
      <c r="A16" s="883"/>
      <c r="B16" s="1196" t="s">
        <v>523</v>
      </c>
      <c r="C16" s="1095">
        <v>0</v>
      </c>
      <c r="D16" s="1219">
        <v>0</v>
      </c>
      <c r="E16" s="1095">
        <v>0</v>
      </c>
      <c r="F16" s="1219">
        <v>0</v>
      </c>
      <c r="G16" s="1095">
        <v>1300</v>
      </c>
      <c r="H16" s="1219">
        <v>1100</v>
      </c>
      <c r="I16" s="1095"/>
      <c r="J16" s="1219">
        <v>0</v>
      </c>
      <c r="K16" s="1095">
        <v>0</v>
      </c>
      <c r="L16" s="1219">
        <v>0</v>
      </c>
      <c r="M16" s="1095">
        <v>1300</v>
      </c>
      <c r="N16" s="1218">
        <f>D16+F16+H16+J16+L16</f>
        <v>1100</v>
      </c>
    </row>
    <row r="17" spans="1:14" ht="21" customHeight="1" x14ac:dyDescent="0.3">
      <c r="A17" s="883"/>
      <c r="B17" s="1196" t="s">
        <v>730</v>
      </c>
      <c r="C17" s="1095">
        <v>0</v>
      </c>
      <c r="D17" s="1219">
        <v>0</v>
      </c>
      <c r="E17" s="1095">
        <v>0</v>
      </c>
      <c r="F17" s="1219">
        <v>0</v>
      </c>
      <c r="G17" s="1095">
        <v>6000</v>
      </c>
      <c r="H17" s="1219">
        <v>10000</v>
      </c>
      <c r="I17" s="1095"/>
      <c r="J17" s="1219">
        <v>0</v>
      </c>
      <c r="K17" s="1095">
        <v>0</v>
      </c>
      <c r="L17" s="1219">
        <v>0</v>
      </c>
      <c r="M17" s="1095">
        <v>6000</v>
      </c>
      <c r="N17" s="1218">
        <f t="shared" ref="N17:N23" si="2">D17+F17+H17+J17+L17</f>
        <v>10000</v>
      </c>
    </row>
    <row r="18" spans="1:14" ht="21" customHeight="1" x14ac:dyDescent="0.3">
      <c r="A18" s="883"/>
      <c r="B18" s="1196" t="s">
        <v>731</v>
      </c>
      <c r="C18" s="1095">
        <v>0</v>
      </c>
      <c r="D18" s="1219">
        <v>0</v>
      </c>
      <c r="E18" s="1095">
        <v>0</v>
      </c>
      <c r="F18" s="1219">
        <v>0</v>
      </c>
      <c r="G18" s="1095">
        <v>7300</v>
      </c>
      <c r="H18" s="1219">
        <v>5500</v>
      </c>
      <c r="I18" s="1095"/>
      <c r="J18" s="1219">
        <v>0</v>
      </c>
      <c r="K18" s="1095">
        <v>0</v>
      </c>
      <c r="L18" s="1219">
        <v>0</v>
      </c>
      <c r="M18" s="1095">
        <v>7300</v>
      </c>
      <c r="N18" s="1218">
        <f t="shared" si="2"/>
        <v>5500</v>
      </c>
    </row>
    <row r="19" spans="1:14" ht="21" customHeight="1" x14ac:dyDescent="0.3">
      <c r="A19" s="883"/>
      <c r="B19" s="1196" t="s">
        <v>522</v>
      </c>
      <c r="C19" s="1095">
        <v>250</v>
      </c>
      <c r="D19" s="1219">
        <v>250</v>
      </c>
      <c r="E19" s="1095">
        <v>300</v>
      </c>
      <c r="F19" s="1219">
        <v>300</v>
      </c>
      <c r="G19" s="1095">
        <v>4500</v>
      </c>
      <c r="H19" s="1219">
        <v>6000</v>
      </c>
      <c r="I19" s="1095"/>
      <c r="J19" s="1219"/>
      <c r="K19" s="1095">
        <v>0</v>
      </c>
      <c r="L19" s="1219"/>
      <c r="M19" s="1095">
        <v>5050</v>
      </c>
      <c r="N19" s="1218">
        <f t="shared" si="2"/>
        <v>6550</v>
      </c>
    </row>
    <row r="20" spans="1:14" ht="21" customHeight="1" x14ac:dyDescent="0.3">
      <c r="A20" s="883"/>
      <c r="B20" s="1196" t="s">
        <v>1130</v>
      </c>
      <c r="C20" s="1095"/>
      <c r="D20" s="1219"/>
      <c r="E20" s="1095"/>
      <c r="F20" s="1219"/>
      <c r="G20" s="1095"/>
      <c r="H20" s="1219">
        <v>2500</v>
      </c>
      <c r="I20" s="1095"/>
      <c r="J20" s="1219"/>
      <c r="K20" s="1095"/>
      <c r="L20" s="1219"/>
      <c r="M20" s="1095"/>
      <c r="N20" s="1218"/>
    </row>
    <row r="21" spans="1:14" s="760" customFormat="1" ht="21" customHeight="1" x14ac:dyDescent="0.35">
      <c r="A21" s="881" t="s">
        <v>398</v>
      </c>
      <c r="B21" s="1367" t="s">
        <v>397</v>
      </c>
      <c r="C21" s="1096">
        <f>SUM(C15:C19)</f>
        <v>250</v>
      </c>
      <c r="D21" s="1220">
        <f t="shared" ref="D21:K21" si="3">SUM(D15:D19)</f>
        <v>250</v>
      </c>
      <c r="E21" s="1096">
        <f t="shared" si="3"/>
        <v>300</v>
      </c>
      <c r="F21" s="1220">
        <f t="shared" ref="F21" si="4">SUM(F15:F19)</f>
        <v>300</v>
      </c>
      <c r="G21" s="1096">
        <f>SUM(G15:G19)</f>
        <v>19100</v>
      </c>
      <c r="H21" s="1220">
        <f>SUM(H15:H20)</f>
        <v>25100</v>
      </c>
      <c r="I21" s="1096">
        <f t="shared" si="3"/>
        <v>0</v>
      </c>
      <c r="J21" s="1220">
        <f t="shared" si="3"/>
        <v>0</v>
      </c>
      <c r="K21" s="1096">
        <f t="shared" si="3"/>
        <v>0</v>
      </c>
      <c r="L21" s="1220">
        <f t="shared" ref="L21" si="5">SUM(L15:L19)</f>
        <v>0</v>
      </c>
      <c r="M21" s="1096">
        <f>C21+E21+G21+I21+K21</f>
        <v>19650</v>
      </c>
      <c r="N21" s="1218">
        <f>D21+F21+H21+J21+L21</f>
        <v>25650</v>
      </c>
    </row>
    <row r="22" spans="1:14" s="760" customFormat="1" ht="21" customHeight="1" x14ac:dyDescent="0.35">
      <c r="A22" s="881" t="s">
        <v>404</v>
      </c>
      <c r="B22" s="1367" t="s">
        <v>732</v>
      </c>
      <c r="C22" s="1094">
        <v>0</v>
      </c>
      <c r="D22" s="1218">
        <v>0</v>
      </c>
      <c r="E22" s="1094">
        <v>0</v>
      </c>
      <c r="F22" s="1218">
        <v>0</v>
      </c>
      <c r="G22" s="1094">
        <v>0</v>
      </c>
      <c r="H22" s="1218">
        <v>0</v>
      </c>
      <c r="I22" s="1094">
        <v>0</v>
      </c>
      <c r="J22" s="1218">
        <v>0</v>
      </c>
      <c r="K22" s="1094">
        <v>2512</v>
      </c>
      <c r="L22" s="1218">
        <f>2442+68</f>
        <v>2510</v>
      </c>
      <c r="M22" s="1094">
        <v>2512</v>
      </c>
      <c r="N22" s="1218">
        <f t="shared" si="2"/>
        <v>2510</v>
      </c>
    </row>
    <row r="23" spans="1:14" s="302" customFormat="1" ht="21" customHeight="1" x14ac:dyDescent="0.3">
      <c r="A23" s="882" t="s">
        <v>408</v>
      </c>
      <c r="B23" s="1197" t="s">
        <v>407</v>
      </c>
      <c r="C23" s="1094">
        <v>0</v>
      </c>
      <c r="D23" s="1218">
        <v>0</v>
      </c>
      <c r="E23" s="1094">
        <v>0</v>
      </c>
      <c r="F23" s="1218">
        <v>0</v>
      </c>
      <c r="G23" s="1094">
        <v>0</v>
      </c>
      <c r="H23" s="1218">
        <v>0</v>
      </c>
      <c r="I23" s="1094">
        <v>0</v>
      </c>
      <c r="J23" s="1218">
        <v>0</v>
      </c>
      <c r="K23" s="1094">
        <v>0</v>
      </c>
      <c r="L23" s="1218">
        <v>0</v>
      </c>
      <c r="M23" s="1094">
        <v>0</v>
      </c>
      <c r="N23" s="1218">
        <f t="shared" si="2"/>
        <v>0</v>
      </c>
    </row>
    <row r="24" spans="1:14" s="302" customFormat="1" ht="21" customHeight="1" x14ac:dyDescent="0.3">
      <c r="A24" s="880" t="s">
        <v>410</v>
      </c>
      <c r="B24" s="1366" t="s">
        <v>409</v>
      </c>
      <c r="C24" s="1094">
        <f>C14+C21+C22+C23</f>
        <v>250</v>
      </c>
      <c r="D24" s="1218">
        <f>D14+D21+D22+D23</f>
        <v>250</v>
      </c>
      <c r="E24" s="1094">
        <f t="shared" ref="E24:M24" si="6">E14+E21+E22+E23</f>
        <v>300</v>
      </c>
      <c r="F24" s="1218">
        <f>F14+F21+F22+F23</f>
        <v>300</v>
      </c>
      <c r="G24" s="1094">
        <f>G14+G21+G22+G23</f>
        <v>24474</v>
      </c>
      <c r="H24" s="1218">
        <f>H14+H21+H22+H23</f>
        <v>30542</v>
      </c>
      <c r="I24" s="1094">
        <f t="shared" si="6"/>
        <v>0</v>
      </c>
      <c r="J24" s="1218">
        <f>J14+J21+J22+J23</f>
        <v>0</v>
      </c>
      <c r="K24" s="1094">
        <f t="shared" si="6"/>
        <v>2512</v>
      </c>
      <c r="L24" s="1218">
        <f>L14+L21+L22+L23</f>
        <v>2510</v>
      </c>
      <c r="M24" s="1094">
        <f t="shared" si="6"/>
        <v>27536</v>
      </c>
      <c r="N24" s="1218">
        <f>D24+F24+H24+J24+L24</f>
        <v>33602</v>
      </c>
    </row>
    <row r="25" spans="1:14" s="302" customFormat="1" x14ac:dyDescent="0.3">
      <c r="A25" s="884" t="s">
        <v>420</v>
      </c>
      <c r="B25" s="1368" t="s">
        <v>419</v>
      </c>
      <c r="C25" s="1097"/>
      <c r="D25" s="1221">
        <f>C25</f>
        <v>0</v>
      </c>
      <c r="E25" s="1097">
        <v>0</v>
      </c>
      <c r="F25" s="1221">
        <f>E25</f>
        <v>0</v>
      </c>
      <c r="G25" s="1097"/>
      <c r="H25" s="1221">
        <f>G25</f>
        <v>0</v>
      </c>
      <c r="I25" s="1097">
        <v>0</v>
      </c>
      <c r="J25" s="1221">
        <f>I25</f>
        <v>0</v>
      </c>
      <c r="K25" s="1097">
        <v>0</v>
      </c>
      <c r="L25" s="1221">
        <f>K25</f>
        <v>0</v>
      </c>
      <c r="M25" s="1097">
        <f t="shared" ref="M25:N27" si="7">C25+E25+G25+I25+K25</f>
        <v>0</v>
      </c>
      <c r="N25" s="1221">
        <f t="shared" si="7"/>
        <v>0</v>
      </c>
    </row>
    <row r="26" spans="1:14" s="302" customFormat="1" ht="21" customHeight="1" x14ac:dyDescent="0.3">
      <c r="A26" s="884" t="s">
        <v>426</v>
      </c>
      <c r="B26" s="1368" t="s">
        <v>425</v>
      </c>
      <c r="C26" s="1097"/>
      <c r="D26" s="1221">
        <f>C26</f>
        <v>0</v>
      </c>
      <c r="E26" s="1097">
        <v>0</v>
      </c>
      <c r="F26" s="1221">
        <f>E26</f>
        <v>0</v>
      </c>
      <c r="G26" s="1097">
        <v>0</v>
      </c>
      <c r="H26" s="1221">
        <f>G26</f>
        <v>0</v>
      </c>
      <c r="I26" s="1097">
        <v>0</v>
      </c>
      <c r="J26" s="1221">
        <f>I26</f>
        <v>0</v>
      </c>
      <c r="K26" s="1097">
        <v>0</v>
      </c>
      <c r="L26" s="1221">
        <f>K26</f>
        <v>0</v>
      </c>
      <c r="M26" s="1097">
        <f t="shared" si="7"/>
        <v>0</v>
      </c>
      <c r="N26" s="1221">
        <f t="shared" si="7"/>
        <v>0</v>
      </c>
    </row>
    <row r="27" spans="1:14" s="302" customFormat="1" ht="21" customHeight="1" x14ac:dyDescent="0.3">
      <c r="A27" s="885" t="s">
        <v>428</v>
      </c>
      <c r="B27" s="1198" t="s">
        <v>427</v>
      </c>
      <c r="C27" s="729">
        <f>C10+C11+C24+C25+C26</f>
        <v>250</v>
      </c>
      <c r="D27" s="730">
        <f>D10+D11+D24+D25+D26</f>
        <v>250</v>
      </c>
      <c r="E27" s="729">
        <f>E10+E11+E24+E25+E26</f>
        <v>300</v>
      </c>
      <c r="F27" s="730">
        <f>F10+F11+F24+F25+F26</f>
        <v>300</v>
      </c>
      <c r="G27" s="729">
        <f t="shared" ref="G27" si="8">G10+G11+G24+G25+G26</f>
        <v>24474</v>
      </c>
      <c r="H27" s="730">
        <f>H10+H11+H24+H25+H26</f>
        <v>30542</v>
      </c>
      <c r="I27" s="729">
        <f t="shared" ref="I27" si="9">I10+I11+I24+I25+I26</f>
        <v>0</v>
      </c>
      <c r="J27" s="730">
        <f>J10+J11+J24+J25+J26</f>
        <v>0</v>
      </c>
      <c r="K27" s="729">
        <f t="shared" ref="K27" si="10">K10+K11+K24+K25+K26</f>
        <v>2512</v>
      </c>
      <c r="L27" s="730">
        <f>L10+L11+L24+L25+L26</f>
        <v>2510</v>
      </c>
      <c r="M27" s="729">
        <f t="shared" si="7"/>
        <v>27536</v>
      </c>
      <c r="N27" s="730">
        <f>D27+F27+H27+J27+L27</f>
        <v>33602</v>
      </c>
    </row>
    <row r="28" spans="1:14" ht="21" customHeight="1" x14ac:dyDescent="0.3">
      <c r="A28" s="886"/>
      <c r="B28" s="1369" t="s">
        <v>429</v>
      </c>
      <c r="C28" s="1098">
        <f t="shared" ref="C28:L28" si="11">C24+C25-C47</f>
        <v>-163397</v>
      </c>
      <c r="D28" s="1222">
        <f t="shared" ref="D28:F28" si="12">D24+D25-D47</f>
        <v>-173934</v>
      </c>
      <c r="E28" s="1098">
        <f t="shared" si="11"/>
        <v>-196697</v>
      </c>
      <c r="F28" s="1222">
        <f t="shared" si="12"/>
        <v>-219278</v>
      </c>
      <c r="G28" s="1098">
        <f t="shared" si="11"/>
        <v>-67988</v>
      </c>
      <c r="H28" s="1222">
        <f t="shared" si="11"/>
        <v>-72749</v>
      </c>
      <c r="I28" s="1098">
        <f t="shared" si="11"/>
        <v>-37841</v>
      </c>
      <c r="J28" s="1222">
        <f t="shared" si="11"/>
        <v>-28024</v>
      </c>
      <c r="K28" s="1098">
        <f t="shared" si="11"/>
        <v>-22401</v>
      </c>
      <c r="L28" s="1222">
        <f t="shared" si="11"/>
        <v>-25435</v>
      </c>
      <c r="M28" s="1098">
        <f>M24+M25-M47</f>
        <v>-488324</v>
      </c>
      <c r="N28" s="1222">
        <f>N24+N25-N47</f>
        <v>-519420</v>
      </c>
    </row>
    <row r="29" spans="1:14" ht="21" customHeight="1" x14ac:dyDescent="0.3">
      <c r="A29" s="886"/>
      <c r="B29" s="1369" t="s">
        <v>430</v>
      </c>
      <c r="C29" s="1098">
        <f t="shared" ref="C29:M29" si="13">C26-C51</f>
        <v>-1153</v>
      </c>
      <c r="D29" s="1222">
        <f t="shared" ref="D29:F29" si="14">D26-D51</f>
        <v>-762</v>
      </c>
      <c r="E29" s="1098">
        <f t="shared" si="13"/>
        <v>-338</v>
      </c>
      <c r="F29" s="1222">
        <f t="shared" si="14"/>
        <v>-735</v>
      </c>
      <c r="G29" s="1098">
        <f t="shared" si="13"/>
        <v>-1099</v>
      </c>
      <c r="H29" s="1222">
        <f t="shared" si="13"/>
        <v>-917</v>
      </c>
      <c r="I29" s="1098">
        <f t="shared" si="13"/>
        <v>-216</v>
      </c>
      <c r="J29" s="1222">
        <f t="shared" si="13"/>
        <v>-508</v>
      </c>
      <c r="K29" s="1098">
        <f t="shared" si="13"/>
        <v>-167</v>
      </c>
      <c r="L29" s="1222">
        <f t="shared" si="13"/>
        <v>-127</v>
      </c>
      <c r="M29" s="1098">
        <f t="shared" si="13"/>
        <v>-2973</v>
      </c>
      <c r="N29" s="1222">
        <f t="shared" ref="N29" si="15">N26-N51</f>
        <v>-3049</v>
      </c>
    </row>
    <row r="30" spans="1:14" ht="35.25" customHeight="1" x14ac:dyDescent="0.3">
      <c r="A30" s="887" t="s">
        <v>436</v>
      </c>
      <c r="B30" s="1196" t="s">
        <v>435</v>
      </c>
      <c r="C30" s="1099">
        <v>0</v>
      </c>
      <c r="D30" s="1223"/>
      <c r="E30" s="1099">
        <v>0</v>
      </c>
      <c r="F30" s="1223"/>
      <c r="G30" s="1099">
        <v>0</v>
      </c>
      <c r="H30" s="1223"/>
      <c r="I30" s="1099">
        <v>0</v>
      </c>
      <c r="J30" s="1223"/>
      <c r="K30" s="1099">
        <v>0</v>
      </c>
      <c r="L30" s="1223"/>
      <c r="M30" s="1099">
        <v>0</v>
      </c>
      <c r="N30" s="1223">
        <v>0</v>
      </c>
    </row>
    <row r="31" spans="1:14" ht="35.25" customHeight="1" x14ac:dyDescent="0.3">
      <c r="A31" s="887" t="s">
        <v>436</v>
      </c>
      <c r="B31" s="1196" t="s">
        <v>437</v>
      </c>
      <c r="C31" s="1099">
        <v>0</v>
      </c>
      <c r="D31" s="1223">
        <v>0</v>
      </c>
      <c r="E31" s="1099">
        <v>0</v>
      </c>
      <c r="F31" s="1223">
        <v>0</v>
      </c>
      <c r="G31" s="1099">
        <v>0</v>
      </c>
      <c r="H31" s="1223">
        <v>0</v>
      </c>
      <c r="I31" s="1099">
        <v>0</v>
      </c>
      <c r="J31" s="1223">
        <v>0</v>
      </c>
      <c r="K31" s="1099">
        <v>0</v>
      </c>
      <c r="L31" s="1223">
        <v>0</v>
      </c>
      <c r="M31" s="1099">
        <v>0</v>
      </c>
      <c r="N31" s="1223">
        <v>0</v>
      </c>
    </row>
    <row r="32" spans="1:14" s="302" customFormat="1" ht="21" customHeight="1" x14ac:dyDescent="0.3">
      <c r="A32" s="879" t="s">
        <v>439</v>
      </c>
      <c r="B32" s="1197" t="s">
        <v>438</v>
      </c>
      <c r="C32" s="1100">
        <f>SUM(C30:C31)</f>
        <v>0</v>
      </c>
      <c r="D32" s="1224">
        <f>SUM(D30:D31)</f>
        <v>0</v>
      </c>
      <c r="E32" s="1100">
        <f t="shared" ref="E32" si="16">SUM(E30:E31)</f>
        <v>0</v>
      </c>
      <c r="F32" s="1224">
        <f>SUM(F30:F31)</f>
        <v>0</v>
      </c>
      <c r="G32" s="1100">
        <f t="shared" ref="G32" si="17">SUM(G30:G31)</f>
        <v>0</v>
      </c>
      <c r="H32" s="1224">
        <f>SUM(H30:H31)</f>
        <v>0</v>
      </c>
      <c r="I32" s="1100">
        <f t="shared" ref="I32" si="18">SUM(I30:I31)</f>
        <v>0</v>
      </c>
      <c r="J32" s="1224">
        <f>SUM(J30:J31)</f>
        <v>0</v>
      </c>
      <c r="K32" s="1100">
        <f t="shared" ref="K32" si="19">SUM(K30:K31)</f>
        <v>0</v>
      </c>
      <c r="L32" s="1224">
        <f>SUM(L30:L31)</f>
        <v>0</v>
      </c>
      <c r="M32" s="1100">
        <f t="shared" ref="M32:N35" si="20">C32+E32+G32+I32+K32</f>
        <v>0</v>
      </c>
      <c r="N32" s="1224">
        <f t="shared" si="20"/>
        <v>0</v>
      </c>
    </row>
    <row r="33" spans="1:14" ht="21" customHeight="1" x14ac:dyDescent="0.3">
      <c r="A33" s="887" t="s">
        <v>441</v>
      </c>
      <c r="B33" s="1327" t="s">
        <v>1105</v>
      </c>
      <c r="C33" s="1099">
        <f t="shared" ref="C33:H33" si="21">C52-C27-C32</f>
        <v>164550</v>
      </c>
      <c r="D33" s="1223">
        <f t="shared" si="21"/>
        <v>174696</v>
      </c>
      <c r="E33" s="1099">
        <f t="shared" si="21"/>
        <v>197035</v>
      </c>
      <c r="F33" s="1223">
        <f t="shared" si="21"/>
        <v>220013</v>
      </c>
      <c r="G33" s="1099">
        <f t="shared" si="21"/>
        <v>69087</v>
      </c>
      <c r="H33" s="1223">
        <f t="shared" si="21"/>
        <v>73666</v>
      </c>
      <c r="I33" s="1099">
        <f t="shared" ref="I33" si="22">I52-I27</f>
        <v>38057</v>
      </c>
      <c r="J33" s="1223">
        <f>J52-J27-J32</f>
        <v>28532</v>
      </c>
      <c r="K33" s="1099">
        <f t="shared" ref="K33" si="23">K52-K27</f>
        <v>22568</v>
      </c>
      <c r="L33" s="1223">
        <f>L52-L27-L32</f>
        <v>25562</v>
      </c>
      <c r="M33" s="1099">
        <f t="shared" si="20"/>
        <v>491297</v>
      </c>
      <c r="N33" s="1223">
        <f>D33+F33+H33+J33+L33</f>
        <v>522469</v>
      </c>
    </row>
    <row r="34" spans="1:14" ht="21" customHeight="1" x14ac:dyDescent="0.3">
      <c r="A34" s="885" t="s">
        <v>449</v>
      </c>
      <c r="B34" s="1198" t="s">
        <v>448</v>
      </c>
      <c r="C34" s="729">
        <f t="shared" ref="C34" si="24">SUM(C32:C33)</f>
        <v>164550</v>
      </c>
      <c r="D34" s="730">
        <f>SUM(D32:D33)</f>
        <v>174696</v>
      </c>
      <c r="E34" s="729">
        <f t="shared" ref="E34" si="25">SUM(E32:E33)</f>
        <v>197035</v>
      </c>
      <c r="F34" s="730">
        <f>SUM(F32:F33)</f>
        <v>220013</v>
      </c>
      <c r="G34" s="729">
        <f t="shared" ref="G34" si="26">SUM(G32:G33)</f>
        <v>69087</v>
      </c>
      <c r="H34" s="730">
        <f>SUM(H32:H33)</f>
        <v>73666</v>
      </c>
      <c r="I34" s="729">
        <f t="shared" ref="I34" si="27">SUM(I32:I33)</f>
        <v>38057</v>
      </c>
      <c r="J34" s="730">
        <f>SUM(J32:J33)</f>
        <v>28532</v>
      </c>
      <c r="K34" s="729">
        <f t="shared" ref="K34" si="28">SUM(K32:K33)</f>
        <v>22568</v>
      </c>
      <c r="L34" s="730">
        <f>SUM(L32:L33)</f>
        <v>25562</v>
      </c>
      <c r="M34" s="729">
        <f t="shared" si="20"/>
        <v>491297</v>
      </c>
      <c r="N34" s="730">
        <f t="shared" si="20"/>
        <v>522469</v>
      </c>
    </row>
    <row r="35" spans="1:14" ht="21" customHeight="1" x14ac:dyDescent="0.3">
      <c r="A35" s="1092" t="s">
        <v>528</v>
      </c>
      <c r="B35" s="1370" t="s">
        <v>62</v>
      </c>
      <c r="C35" s="1101">
        <f t="shared" ref="C35" si="29">C27+C34</f>
        <v>164800</v>
      </c>
      <c r="D35" s="1225">
        <f>D27+D34</f>
        <v>174946</v>
      </c>
      <c r="E35" s="1101">
        <f t="shared" ref="E35" si="30">E27+E34</f>
        <v>197335</v>
      </c>
      <c r="F35" s="1225">
        <f>F27+F34</f>
        <v>220313</v>
      </c>
      <c r="G35" s="1101">
        <f t="shared" ref="G35" si="31">G27+G34</f>
        <v>93561</v>
      </c>
      <c r="H35" s="1225">
        <f>H27+H34</f>
        <v>104208</v>
      </c>
      <c r="I35" s="1101">
        <f t="shared" ref="I35" si="32">I27+I34</f>
        <v>38057</v>
      </c>
      <c r="J35" s="1225">
        <f>J27+J34</f>
        <v>28532</v>
      </c>
      <c r="K35" s="1101">
        <f t="shared" ref="K35" si="33">K27+K34</f>
        <v>25080</v>
      </c>
      <c r="L35" s="1225">
        <f>L27+L34</f>
        <v>28072</v>
      </c>
      <c r="M35" s="1101">
        <f t="shared" si="20"/>
        <v>518833</v>
      </c>
      <c r="N35" s="1225">
        <f t="shared" si="20"/>
        <v>556071</v>
      </c>
    </row>
    <row r="36" spans="1:14" ht="21" customHeight="1" x14ac:dyDescent="0.3">
      <c r="A36" s="874" t="s">
        <v>95</v>
      </c>
      <c r="B36" s="1200" t="s">
        <v>295</v>
      </c>
      <c r="C36" s="1095">
        <v>122477</v>
      </c>
      <c r="D36" s="1219">
        <v>132929</v>
      </c>
      <c r="E36" s="1095">
        <v>141536</v>
      </c>
      <c r="F36" s="1219">
        <v>163515</v>
      </c>
      <c r="G36" s="1095">
        <v>35450</v>
      </c>
      <c r="H36" s="1219">
        <f>39095+500</f>
        <v>39595</v>
      </c>
      <c r="I36" s="1095">
        <v>21444</v>
      </c>
      <c r="J36" s="1219">
        <v>20300</v>
      </c>
      <c r="K36" s="1095">
        <v>17291</v>
      </c>
      <c r="L36" s="1219">
        <v>19783</v>
      </c>
      <c r="M36" s="1095">
        <v>338198</v>
      </c>
      <c r="N36" s="1218">
        <f>D36+F36+H36+J36+L36</f>
        <v>376122</v>
      </c>
    </row>
    <row r="37" spans="1:14" ht="21" hidden="1" customHeight="1" x14ac:dyDescent="0.3">
      <c r="A37" s="874" t="s">
        <v>96</v>
      </c>
      <c r="B37" s="1200" t="s">
        <v>97</v>
      </c>
      <c r="C37" s="1095">
        <v>2250</v>
      </c>
      <c r="D37" s="1219">
        <v>2250</v>
      </c>
      <c r="E37" s="1095">
        <v>2730</v>
      </c>
      <c r="F37" s="1219">
        <v>2250</v>
      </c>
      <c r="G37" s="1095">
        <v>810</v>
      </c>
      <c r="H37" s="1219">
        <v>2250</v>
      </c>
      <c r="I37" s="1095">
        <v>965</v>
      </c>
      <c r="J37" s="1219">
        <v>2250</v>
      </c>
      <c r="K37" s="1095">
        <v>420</v>
      </c>
      <c r="L37" s="1219">
        <v>2250</v>
      </c>
      <c r="M37" s="1095">
        <v>7175</v>
      </c>
      <c r="N37" s="1218">
        <f t="shared" ref="N37:N46" si="34">D37+F37+H37+J37+L37</f>
        <v>11250</v>
      </c>
    </row>
    <row r="38" spans="1:14" ht="21" customHeight="1" x14ac:dyDescent="0.3">
      <c r="A38" s="874" t="s">
        <v>90</v>
      </c>
      <c r="B38" s="1200" t="s">
        <v>91</v>
      </c>
      <c r="C38" s="1095">
        <v>0</v>
      </c>
      <c r="D38" s="1219">
        <v>0</v>
      </c>
      <c r="E38" s="1095"/>
      <c r="F38" s="1219">
        <v>0</v>
      </c>
      <c r="G38" s="1095">
        <v>600</v>
      </c>
      <c r="H38" s="1219">
        <v>800</v>
      </c>
      <c r="I38" s="1095">
        <v>0</v>
      </c>
      <c r="J38" s="1219"/>
      <c r="K38" s="1095">
        <v>0</v>
      </c>
      <c r="L38" s="1219">
        <v>0</v>
      </c>
      <c r="M38" s="1095">
        <v>600</v>
      </c>
      <c r="N38" s="1218">
        <f t="shared" si="34"/>
        <v>800</v>
      </c>
    </row>
    <row r="39" spans="1:14" s="302" customFormat="1" ht="21" customHeight="1" x14ac:dyDescent="0.3">
      <c r="A39" s="875" t="s">
        <v>294</v>
      </c>
      <c r="B39" s="1371" t="s">
        <v>295</v>
      </c>
      <c r="C39" s="1094">
        <f>C36+C38</f>
        <v>122477</v>
      </c>
      <c r="D39" s="1218">
        <f>D36+D38</f>
        <v>132929</v>
      </c>
      <c r="E39" s="1094">
        <f t="shared" ref="E39:I39" si="35">E36+E38</f>
        <v>141536</v>
      </c>
      <c r="F39" s="1218">
        <f>F36+F38</f>
        <v>163515</v>
      </c>
      <c r="G39" s="1094">
        <f>G36+G38</f>
        <v>36050</v>
      </c>
      <c r="H39" s="1218">
        <f>H36+H38</f>
        <v>40395</v>
      </c>
      <c r="I39" s="1094">
        <f t="shared" si="35"/>
        <v>21444</v>
      </c>
      <c r="J39" s="1218">
        <f>J36+J38</f>
        <v>20300</v>
      </c>
      <c r="K39" s="1094">
        <f>K36+K38</f>
        <v>17291</v>
      </c>
      <c r="L39" s="1218">
        <f>L36+L38</f>
        <v>19783</v>
      </c>
      <c r="M39" s="1094">
        <f>C39+E39+G39+I39+K39</f>
        <v>338798</v>
      </c>
      <c r="N39" s="1218">
        <f t="shared" si="34"/>
        <v>376922</v>
      </c>
    </row>
    <row r="40" spans="1:14" s="302" customFormat="1" ht="21" customHeight="1" x14ac:dyDescent="0.3">
      <c r="A40" s="875" t="s">
        <v>296</v>
      </c>
      <c r="B40" s="1197" t="s">
        <v>297</v>
      </c>
      <c r="C40" s="1094">
        <v>28662</v>
      </c>
      <c r="D40" s="1218">
        <v>27501</v>
      </c>
      <c r="E40" s="1094">
        <v>34137</v>
      </c>
      <c r="F40" s="1218">
        <v>34023</v>
      </c>
      <c r="G40" s="1094">
        <v>9224</v>
      </c>
      <c r="H40" s="1218">
        <f>7776+489+98</f>
        <v>8363</v>
      </c>
      <c r="I40" s="1094">
        <v>5445</v>
      </c>
      <c r="J40" s="1218">
        <v>4393</v>
      </c>
      <c r="K40" s="1094">
        <v>4303</v>
      </c>
      <c r="L40" s="1218">
        <v>4178</v>
      </c>
      <c r="M40" s="1094">
        <v>81771</v>
      </c>
      <c r="N40" s="1218">
        <f t="shared" si="34"/>
        <v>78458</v>
      </c>
    </row>
    <row r="41" spans="1:14" s="302" customFormat="1" ht="21" customHeight="1" x14ac:dyDescent="0.3">
      <c r="A41" s="875" t="s">
        <v>298</v>
      </c>
      <c r="B41" s="1197" t="s">
        <v>299</v>
      </c>
      <c r="C41" s="1094">
        <v>12508</v>
      </c>
      <c r="D41" s="1218">
        <v>13754</v>
      </c>
      <c r="E41" s="1094">
        <v>21324</v>
      </c>
      <c r="F41" s="1218">
        <v>22040</v>
      </c>
      <c r="G41" s="1094">
        <v>47188</v>
      </c>
      <c r="H41" s="1218">
        <f>53373+1160</f>
        <v>54533</v>
      </c>
      <c r="I41" s="1094">
        <v>10952</v>
      </c>
      <c r="J41" s="1218">
        <v>3331</v>
      </c>
      <c r="K41" s="1094">
        <v>3319</v>
      </c>
      <c r="L41" s="1218">
        <v>3984</v>
      </c>
      <c r="M41" s="1094">
        <v>95291</v>
      </c>
      <c r="N41" s="1218">
        <f t="shared" si="34"/>
        <v>97642</v>
      </c>
    </row>
    <row r="42" spans="1:14" ht="21" customHeight="1" x14ac:dyDescent="0.3">
      <c r="A42" s="874"/>
      <c r="B42" s="1200" t="s">
        <v>993</v>
      </c>
      <c r="C42" s="1095">
        <v>0</v>
      </c>
      <c r="D42" s="1219">
        <v>0</v>
      </c>
      <c r="E42" s="1095">
        <v>0</v>
      </c>
      <c r="F42" s="1219">
        <v>0</v>
      </c>
      <c r="G42" s="1095">
        <v>500</v>
      </c>
      <c r="H42" s="1219"/>
      <c r="I42" s="1095"/>
      <c r="J42" s="1219">
        <v>0</v>
      </c>
      <c r="K42" s="1095">
        <v>0</v>
      </c>
      <c r="L42" s="1219">
        <v>0</v>
      </c>
      <c r="M42" s="1095">
        <v>500</v>
      </c>
      <c r="N42" s="1218">
        <f t="shared" si="34"/>
        <v>0</v>
      </c>
    </row>
    <row r="43" spans="1:14" ht="21" customHeight="1" x14ac:dyDescent="0.3">
      <c r="A43" s="874"/>
      <c r="B43" s="1200" t="s">
        <v>661</v>
      </c>
      <c r="C43" s="1095">
        <v>0</v>
      </c>
      <c r="D43" s="1219">
        <v>0</v>
      </c>
      <c r="E43" s="1095">
        <v>0</v>
      </c>
      <c r="F43" s="1219">
        <v>0</v>
      </c>
      <c r="G43" s="1095">
        <v>13500</v>
      </c>
      <c r="H43" s="1219">
        <f>13500+3500+1160</f>
        <v>18160</v>
      </c>
      <c r="I43" s="1095"/>
      <c r="J43" s="1219">
        <v>0</v>
      </c>
      <c r="K43" s="1095">
        <v>0</v>
      </c>
      <c r="L43" s="1219">
        <v>0</v>
      </c>
      <c r="M43" s="1095">
        <v>13500</v>
      </c>
      <c r="N43" s="1218">
        <f t="shared" si="34"/>
        <v>18160</v>
      </c>
    </row>
    <row r="44" spans="1:14" ht="25.5" customHeight="1" x14ac:dyDescent="0.3">
      <c r="A44" s="874"/>
      <c r="B44" s="1200" t="s">
        <v>662</v>
      </c>
      <c r="C44" s="1095">
        <v>0</v>
      </c>
      <c r="D44" s="1219">
        <v>0</v>
      </c>
      <c r="E44" s="1095">
        <v>0</v>
      </c>
      <c r="F44" s="1219">
        <v>0</v>
      </c>
      <c r="G44" s="1095">
        <v>2100</v>
      </c>
      <c r="H44" s="1219">
        <v>3000</v>
      </c>
      <c r="I44" s="1095"/>
      <c r="J44" s="1219">
        <v>0</v>
      </c>
      <c r="K44" s="1095">
        <v>0</v>
      </c>
      <c r="L44" s="1219">
        <v>0</v>
      </c>
      <c r="M44" s="1095">
        <v>2100</v>
      </c>
      <c r="N44" s="1218">
        <f t="shared" si="34"/>
        <v>3000</v>
      </c>
    </row>
    <row r="45" spans="1:14" ht="21" customHeight="1" x14ac:dyDescent="0.3">
      <c r="A45" s="874"/>
      <c r="B45" s="1200" t="s">
        <v>663</v>
      </c>
      <c r="C45" s="1095">
        <v>0</v>
      </c>
      <c r="D45" s="1219">
        <v>0</v>
      </c>
      <c r="E45" s="1095">
        <v>0</v>
      </c>
      <c r="F45" s="1219">
        <v>0</v>
      </c>
      <c r="G45" s="1095">
        <v>6250</v>
      </c>
      <c r="H45" s="1219">
        <v>7500</v>
      </c>
      <c r="I45" s="1095"/>
      <c r="J45" s="1219">
        <v>0</v>
      </c>
      <c r="K45" s="1095">
        <v>0</v>
      </c>
      <c r="L45" s="1219">
        <v>0</v>
      </c>
      <c r="M45" s="1095">
        <v>6250</v>
      </c>
      <c r="N45" s="1218">
        <f t="shared" si="34"/>
        <v>7500</v>
      </c>
    </row>
    <row r="46" spans="1:14" s="302" customFormat="1" ht="21" customHeight="1" x14ac:dyDescent="0.3">
      <c r="A46" s="875" t="s">
        <v>307</v>
      </c>
      <c r="B46" s="1197" t="s">
        <v>308</v>
      </c>
      <c r="C46" s="1094">
        <v>0</v>
      </c>
      <c r="D46" s="1218">
        <v>0</v>
      </c>
      <c r="E46" s="1094">
        <v>0</v>
      </c>
      <c r="F46" s="1218">
        <v>0</v>
      </c>
      <c r="G46" s="1094">
        <v>0</v>
      </c>
      <c r="H46" s="1218">
        <v>0</v>
      </c>
      <c r="I46" s="1094">
        <v>0</v>
      </c>
      <c r="J46" s="1218">
        <v>0</v>
      </c>
      <c r="K46" s="1094">
        <v>0</v>
      </c>
      <c r="L46" s="1218">
        <v>0</v>
      </c>
      <c r="M46" s="1094">
        <v>0</v>
      </c>
      <c r="N46" s="1218">
        <f t="shared" si="34"/>
        <v>0</v>
      </c>
    </row>
    <row r="47" spans="1:14" s="302" customFormat="1" ht="21" customHeight="1" x14ac:dyDescent="0.3">
      <c r="A47" s="885" t="s">
        <v>526</v>
      </c>
      <c r="B47" s="1198" t="s">
        <v>330</v>
      </c>
      <c r="C47" s="729">
        <f>C39+C40+C41+C46</f>
        <v>163647</v>
      </c>
      <c r="D47" s="730">
        <f>D39+D40+D41+D46</f>
        <v>174184</v>
      </c>
      <c r="E47" s="729">
        <f t="shared" ref="E47:K47" si="36">E39+E40+E41+E46</f>
        <v>196997</v>
      </c>
      <c r="F47" s="730">
        <f>F39+F40+F41+F46</f>
        <v>219578</v>
      </c>
      <c r="G47" s="729">
        <f t="shared" si="36"/>
        <v>92462</v>
      </c>
      <c r="H47" s="730">
        <f>H39+H40+H41+H46</f>
        <v>103291</v>
      </c>
      <c r="I47" s="729">
        <f t="shared" si="36"/>
        <v>37841</v>
      </c>
      <c r="J47" s="730">
        <f>J39+J40+J41+J46</f>
        <v>28024</v>
      </c>
      <c r="K47" s="729">
        <f t="shared" si="36"/>
        <v>24913</v>
      </c>
      <c r="L47" s="730">
        <f>L39+L40+L41+L46</f>
        <v>27945</v>
      </c>
      <c r="M47" s="729">
        <f>C47+E47+G47+I47+K47</f>
        <v>515860</v>
      </c>
      <c r="N47" s="730">
        <f>D47+F47+H47+J47+L47</f>
        <v>553022</v>
      </c>
    </row>
    <row r="48" spans="1:14" s="302" customFormat="1" ht="21" customHeight="1" x14ac:dyDescent="0.3">
      <c r="A48" s="875" t="s">
        <v>309</v>
      </c>
      <c r="B48" s="1372" t="s">
        <v>733</v>
      </c>
      <c r="C48" s="1094">
        <v>1153</v>
      </c>
      <c r="D48" s="1218">
        <v>762</v>
      </c>
      <c r="E48" s="1094">
        <v>338</v>
      </c>
      <c r="F48" s="1218">
        <v>735</v>
      </c>
      <c r="G48" s="1094">
        <v>1099</v>
      </c>
      <c r="H48" s="1218">
        <v>917</v>
      </c>
      <c r="I48" s="1094">
        <v>216</v>
      </c>
      <c r="J48" s="1218">
        <v>508</v>
      </c>
      <c r="K48" s="1094">
        <v>167</v>
      </c>
      <c r="L48" s="1218">
        <v>127</v>
      </c>
      <c r="M48" s="1094">
        <v>2973</v>
      </c>
      <c r="N48" s="1218">
        <f t="shared" ref="N48" si="37">D48+F48+H48+J48+L48</f>
        <v>3049</v>
      </c>
    </row>
    <row r="49" spans="1:14" s="302" customFormat="1" ht="21" customHeight="1" x14ac:dyDescent="0.3">
      <c r="A49" s="875" t="s">
        <v>310</v>
      </c>
      <c r="B49" s="1197" t="s">
        <v>311</v>
      </c>
      <c r="C49" s="1094">
        <v>0</v>
      </c>
      <c r="D49" s="1218">
        <v>0</v>
      </c>
      <c r="E49" s="1094">
        <v>0</v>
      </c>
      <c r="F49" s="1218">
        <v>0</v>
      </c>
      <c r="G49" s="1094">
        <v>0</v>
      </c>
      <c r="H49" s="1218">
        <v>0</v>
      </c>
      <c r="I49" s="1094">
        <v>0</v>
      </c>
      <c r="J49" s="1218">
        <v>0</v>
      </c>
      <c r="K49" s="1094">
        <v>0</v>
      </c>
      <c r="L49" s="1218">
        <v>0</v>
      </c>
      <c r="M49" s="1094">
        <v>0</v>
      </c>
      <c r="N49" s="1218">
        <v>0</v>
      </c>
    </row>
    <row r="50" spans="1:14" s="302" customFormat="1" ht="21" customHeight="1" x14ac:dyDescent="0.3">
      <c r="A50" s="875" t="s">
        <v>314</v>
      </c>
      <c r="B50" s="1197" t="s">
        <v>315</v>
      </c>
      <c r="C50" s="1094">
        <v>0</v>
      </c>
      <c r="D50" s="1218">
        <v>0</v>
      </c>
      <c r="E50" s="1094">
        <v>0</v>
      </c>
      <c r="F50" s="1218">
        <v>0</v>
      </c>
      <c r="G50" s="1094">
        <v>0</v>
      </c>
      <c r="H50" s="1218">
        <v>0</v>
      </c>
      <c r="I50" s="1094">
        <v>0</v>
      </c>
      <c r="J50" s="1218">
        <v>0</v>
      </c>
      <c r="K50" s="1094">
        <v>0</v>
      </c>
      <c r="L50" s="1218">
        <v>0</v>
      </c>
      <c r="M50" s="1094">
        <v>0</v>
      </c>
      <c r="N50" s="1218">
        <v>0</v>
      </c>
    </row>
    <row r="51" spans="1:14" ht="21" customHeight="1" x14ac:dyDescent="0.3">
      <c r="A51" s="885" t="s">
        <v>527</v>
      </c>
      <c r="B51" s="1198" t="s">
        <v>331</v>
      </c>
      <c r="C51" s="729">
        <f>SUM(C48:C50)</f>
        <v>1153</v>
      </c>
      <c r="D51" s="730">
        <f>SUM(D48:D50)</f>
        <v>762</v>
      </c>
      <c r="E51" s="729">
        <f t="shared" ref="E51" si="38">SUM(E48:E50)</f>
        <v>338</v>
      </c>
      <c r="F51" s="730">
        <f>SUM(F48:F50)</f>
        <v>735</v>
      </c>
      <c r="G51" s="729">
        <f t="shared" ref="G51" si="39">SUM(G48:G50)</f>
        <v>1099</v>
      </c>
      <c r="H51" s="730">
        <f>SUM(H48:H50)</f>
        <v>917</v>
      </c>
      <c r="I51" s="729">
        <f t="shared" ref="I51" si="40">SUM(I48:I50)</f>
        <v>216</v>
      </c>
      <c r="J51" s="730">
        <f>SUM(J48:J50)</f>
        <v>508</v>
      </c>
      <c r="K51" s="729">
        <f t="shared" ref="K51" si="41">SUM(K48:K50)</f>
        <v>167</v>
      </c>
      <c r="L51" s="730">
        <f>SUM(L48:L50)</f>
        <v>127</v>
      </c>
      <c r="M51" s="729">
        <f>C51+E51+G51+I51+K51</f>
        <v>2973</v>
      </c>
      <c r="N51" s="730">
        <f>D51+F51+H51+J51+L51</f>
        <v>3049</v>
      </c>
    </row>
    <row r="52" spans="1:14" ht="21" customHeight="1" thickBot="1" x14ac:dyDescent="0.35">
      <c r="A52" s="1093" t="s">
        <v>316</v>
      </c>
      <c r="B52" s="1373" t="s">
        <v>529</v>
      </c>
      <c r="C52" s="1102">
        <f>C47+C51</f>
        <v>164800</v>
      </c>
      <c r="D52" s="1226">
        <f>D47+D51</f>
        <v>174946</v>
      </c>
      <c r="E52" s="1102">
        <f t="shared" ref="E52" si="42">E47+E51</f>
        <v>197335</v>
      </c>
      <c r="F52" s="1226">
        <f>F47+F51</f>
        <v>220313</v>
      </c>
      <c r="G52" s="1102">
        <f t="shared" ref="G52" si="43">G47+G51</f>
        <v>93561</v>
      </c>
      <c r="H52" s="1226">
        <f>H47+H51</f>
        <v>104208</v>
      </c>
      <c r="I52" s="1102">
        <f t="shared" ref="I52" si="44">I47+I51</f>
        <v>38057</v>
      </c>
      <c r="J52" s="1226">
        <f>J47+J51</f>
        <v>28532</v>
      </c>
      <c r="K52" s="1102">
        <f t="shared" ref="K52" si="45">K47+K51</f>
        <v>25080</v>
      </c>
      <c r="L52" s="1226">
        <f>L47+L51</f>
        <v>28072</v>
      </c>
      <c r="M52" s="1102">
        <f>C52+E52+G52+I52+K52</f>
        <v>518833</v>
      </c>
      <c r="N52" s="1226">
        <f>D52+F52+H52+J52+L52</f>
        <v>556071</v>
      </c>
    </row>
    <row r="54" spans="1:14" x14ac:dyDescent="0.3">
      <c r="C54" s="813"/>
      <c r="D54" s="813"/>
      <c r="E54" s="813"/>
      <c r="F54" s="813"/>
      <c r="G54" s="813"/>
      <c r="H54" s="813"/>
      <c r="I54" s="813"/>
      <c r="J54" s="813"/>
      <c r="K54" s="813"/>
      <c r="L54" s="813"/>
      <c r="M54" s="813"/>
      <c r="N54" s="813"/>
    </row>
    <row r="58" spans="1:14" x14ac:dyDescent="0.3">
      <c r="H58" s="813"/>
    </row>
  </sheetData>
  <mergeCells count="3">
    <mergeCell ref="A1:N1"/>
    <mergeCell ref="A3:N3"/>
    <mergeCell ref="A5:N5"/>
  </mergeCells>
  <phoneticPr fontId="57" type="noConversion"/>
  <printOptions horizontalCentered="1"/>
  <pageMargins left="0.15748031496062992" right="0.23622047244094491" top="0.27559055118110237" bottom="0.35433070866141736" header="0.31496062992125984" footer="0.31496062992125984"/>
  <pageSetup paperSize="8" scale="44" fitToWidth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view="pageBreakPreview" zoomScaleNormal="85" zoomScaleSheetLayoutView="100" workbookViewId="0">
      <selection activeCell="G58" sqref="G58"/>
    </sheetView>
  </sheetViews>
  <sheetFormatPr defaultRowHeight="15" customHeight="1" x14ac:dyDescent="0.2"/>
  <cols>
    <col min="1" max="1" width="13.42578125" style="97" bestFit="1" customWidth="1"/>
    <col min="2" max="2" width="104.140625" style="97" customWidth="1"/>
    <col min="3" max="3" width="13.140625" style="97" customWidth="1"/>
    <col min="4" max="4" width="12.5703125" style="97" customWidth="1"/>
    <col min="5" max="5" width="14.28515625" style="97" customWidth="1"/>
    <col min="6" max="6" width="15" style="97" customWidth="1"/>
    <col min="7" max="16384" width="9.140625" style="97"/>
  </cols>
  <sheetData>
    <row r="1" spans="1:6" ht="18.75" x14ac:dyDescent="0.3">
      <c r="A1" s="1837" t="str">
        <f>'3. Gesz költségvetés'!A1:L1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</row>
    <row r="2" spans="1:6" ht="18.75" x14ac:dyDescent="0.3">
      <c r="A2" s="1837" t="str">
        <f>'3. Gesz költségvetés'!A3:L3</f>
        <v>az Önkormányzat  2018. évi költségvetéséről</v>
      </c>
      <c r="B2" s="1837"/>
      <c r="C2" s="1837"/>
      <c r="D2" s="1837"/>
      <c r="E2" s="1837"/>
      <c r="F2" s="1837"/>
    </row>
    <row r="3" spans="1:6" ht="24" customHeight="1" x14ac:dyDescent="0.3">
      <c r="A3" s="1838" t="str">
        <f>Tartalomjegyzék_2018!B11</f>
        <v>Pilisvörösvár Város Önkormányzata költségvetése kötelező és önként vállalt feladat szerinti bontásban</v>
      </c>
      <c r="B3" s="1838"/>
      <c r="C3" s="1838"/>
      <c r="D3" s="1838"/>
      <c r="E3" s="1838"/>
      <c r="F3" s="1838"/>
    </row>
    <row r="4" spans="1:6" ht="15" customHeight="1" x14ac:dyDescent="0.2">
      <c r="F4" s="317" t="s">
        <v>13</v>
      </c>
    </row>
    <row r="5" spans="1:6" ht="15" customHeight="1" thickBot="1" x14ac:dyDescent="0.35">
      <c r="F5" s="318" t="s">
        <v>329</v>
      </c>
    </row>
    <row r="6" spans="1:6" ht="38.25" customHeight="1" x14ac:dyDescent="0.2">
      <c r="A6" s="1830" t="s">
        <v>370</v>
      </c>
      <c r="B6" s="1832" t="s">
        <v>787</v>
      </c>
      <c r="C6" s="1832" t="s">
        <v>1056</v>
      </c>
      <c r="D6" s="1834" t="s">
        <v>1057</v>
      </c>
      <c r="E6" s="1835"/>
      <c r="F6" s="1836"/>
    </row>
    <row r="7" spans="1:6" ht="57.75" customHeight="1" x14ac:dyDescent="0.2">
      <c r="A7" s="1831"/>
      <c r="B7" s="1833"/>
      <c r="C7" s="1833"/>
      <c r="D7" s="1386" t="s">
        <v>159</v>
      </c>
      <c r="E7" s="1386" t="s">
        <v>160</v>
      </c>
      <c r="F7" s="1414" t="s">
        <v>371</v>
      </c>
    </row>
    <row r="8" spans="1:6" ht="19.5" customHeight="1" x14ac:dyDescent="0.25">
      <c r="A8" s="114" t="s">
        <v>381</v>
      </c>
      <c r="B8" s="115" t="s">
        <v>380</v>
      </c>
      <c r="C8" s="126">
        <v>604692</v>
      </c>
      <c r="D8" s="126">
        <f>'2.Bevételek_részletes'!D8</f>
        <v>640496.74300000002</v>
      </c>
      <c r="E8" s="126"/>
      <c r="F8" s="127">
        <f>SUM(D8:E8)</f>
        <v>640496.74300000002</v>
      </c>
    </row>
    <row r="9" spans="1:6" ht="19.5" customHeight="1" x14ac:dyDescent="0.25">
      <c r="A9" s="114" t="s">
        <v>383</v>
      </c>
      <c r="B9" s="115" t="s">
        <v>382</v>
      </c>
      <c r="C9" s="126">
        <v>13206</v>
      </c>
      <c r="D9" s="126">
        <f>'2.Bevételek_részletes'!D9</f>
        <v>10747.813174999999</v>
      </c>
      <c r="E9" s="126"/>
      <c r="F9" s="127">
        <f t="shared" ref="F9:F28" si="0">SUM(D9:E9)</f>
        <v>10747.813174999999</v>
      </c>
    </row>
    <row r="10" spans="1:6" s="54" customFormat="1" ht="19.5" customHeight="1" x14ac:dyDescent="0.25">
      <c r="A10" s="122" t="s">
        <v>385</v>
      </c>
      <c r="B10" s="105" t="s">
        <v>384</v>
      </c>
      <c r="C10" s="154">
        <f>SUM(C8:C9)</f>
        <v>617898</v>
      </c>
      <c r="D10" s="154">
        <f>SUM(D8:D9)</f>
        <v>651244.55617500003</v>
      </c>
      <c r="E10" s="154">
        <f t="shared" ref="E10:F10" si="1">SUM(E8:E9)</f>
        <v>0</v>
      </c>
      <c r="F10" s="155">
        <f t="shared" si="1"/>
        <v>651244.55617500003</v>
      </c>
    </row>
    <row r="11" spans="1:6" s="54" customFormat="1" ht="19.5" customHeight="1" x14ac:dyDescent="0.25">
      <c r="A11" s="122" t="s">
        <v>389</v>
      </c>
      <c r="B11" s="105" t="s">
        <v>388</v>
      </c>
      <c r="C11" s="126">
        <v>0</v>
      </c>
      <c r="D11" s="126">
        <f>'2.Bevételek_részletes'!D12</f>
        <v>0</v>
      </c>
      <c r="E11" s="126">
        <v>0</v>
      </c>
      <c r="F11" s="127">
        <f t="shared" si="0"/>
        <v>0</v>
      </c>
    </row>
    <row r="12" spans="1:6" s="54" customFormat="1" ht="19.5" customHeight="1" x14ac:dyDescent="0.25">
      <c r="A12" s="576" t="s">
        <v>153</v>
      </c>
      <c r="B12" s="577" t="s">
        <v>165</v>
      </c>
      <c r="C12" s="126">
        <v>86000</v>
      </c>
      <c r="D12" s="126">
        <f>'2.Bevételek_részletes'!D13</f>
        <v>84500</v>
      </c>
      <c r="E12" s="126"/>
      <c r="F12" s="127">
        <f t="shared" si="0"/>
        <v>84500</v>
      </c>
    </row>
    <row r="13" spans="1:6" ht="19.5" customHeight="1" x14ac:dyDescent="0.25">
      <c r="A13" s="114" t="s">
        <v>111</v>
      </c>
      <c r="B13" s="115" t="s">
        <v>164</v>
      </c>
      <c r="C13" s="126">
        <v>540500</v>
      </c>
      <c r="D13" s="126">
        <f>'2.Bevételek_részletes'!D14</f>
        <v>587500</v>
      </c>
      <c r="E13" s="126"/>
      <c r="F13" s="127">
        <f t="shared" si="0"/>
        <v>587500</v>
      </c>
    </row>
    <row r="14" spans="1:6" ht="19.5" customHeight="1" x14ac:dyDescent="0.25">
      <c r="A14" s="114" t="s">
        <v>392</v>
      </c>
      <c r="B14" s="115" t="s">
        <v>161</v>
      </c>
      <c r="C14" s="126">
        <v>5000</v>
      </c>
      <c r="D14" s="126">
        <f>'2.Bevételek_részletes'!D15</f>
        <v>4400</v>
      </c>
      <c r="E14" s="126"/>
      <c r="F14" s="127">
        <f t="shared" si="0"/>
        <v>4400</v>
      </c>
    </row>
    <row r="15" spans="1:6" s="54" customFormat="1" ht="19.5" customHeight="1" x14ac:dyDescent="0.25">
      <c r="A15" s="122" t="s">
        <v>394</v>
      </c>
      <c r="B15" s="105" t="s">
        <v>393</v>
      </c>
      <c r="C15" s="154">
        <f>SUM(C12:C14)</f>
        <v>631500</v>
      </c>
      <c r="D15" s="154">
        <f>SUM(D12:D14)</f>
        <v>676400</v>
      </c>
      <c r="E15" s="154">
        <f t="shared" ref="E15:F15" si="2">SUM(E12:E14)</f>
        <v>0</v>
      </c>
      <c r="F15" s="155">
        <f t="shared" si="2"/>
        <v>676400</v>
      </c>
    </row>
    <row r="16" spans="1:6" s="54" customFormat="1" ht="19.5" customHeight="1" x14ac:dyDescent="0.25">
      <c r="A16" s="114" t="s">
        <v>123</v>
      </c>
      <c r="B16" s="107" t="s">
        <v>395</v>
      </c>
      <c r="C16" s="126">
        <v>3172</v>
      </c>
      <c r="D16" s="126">
        <f>'2.Bevételek_részletes'!D17</f>
        <v>2925</v>
      </c>
      <c r="E16" s="126"/>
      <c r="F16" s="127">
        <f t="shared" si="0"/>
        <v>2925</v>
      </c>
    </row>
    <row r="17" spans="1:6" s="54" customFormat="1" ht="19.5" customHeight="1" x14ac:dyDescent="0.25">
      <c r="A17" s="114" t="s">
        <v>122</v>
      </c>
      <c r="B17" s="115" t="s">
        <v>125</v>
      </c>
      <c r="C17" s="126">
        <v>49722</v>
      </c>
      <c r="D17" s="126">
        <f>'2.Bevételek_részletes'!D18</f>
        <v>50296.802360000001</v>
      </c>
      <c r="E17" s="126"/>
      <c r="F17" s="127">
        <f t="shared" si="0"/>
        <v>50296.802360000001</v>
      </c>
    </row>
    <row r="18" spans="1:6" s="54" customFormat="1" ht="19.5" customHeight="1" x14ac:dyDescent="0.25">
      <c r="A18" s="114" t="s">
        <v>121</v>
      </c>
      <c r="B18" s="115" t="s">
        <v>116</v>
      </c>
      <c r="C18" s="126">
        <v>7530</v>
      </c>
      <c r="D18" s="126">
        <f>'2.Bevételek_részletes'!D19</f>
        <v>12721.152</v>
      </c>
      <c r="E18" s="126"/>
      <c r="F18" s="127">
        <f t="shared" si="0"/>
        <v>12721.152</v>
      </c>
    </row>
    <row r="19" spans="1:6" s="54" customFormat="1" ht="19.5" customHeight="1" x14ac:dyDescent="0.25">
      <c r="A19" s="114"/>
      <c r="B19" s="115" t="s">
        <v>401</v>
      </c>
      <c r="C19" s="126">
        <v>83056</v>
      </c>
      <c r="D19" s="126">
        <f>'2.Bevételek_részletes'!D20</f>
        <v>84915</v>
      </c>
      <c r="E19" s="126"/>
      <c r="F19" s="127">
        <f t="shared" si="0"/>
        <v>84915</v>
      </c>
    </row>
    <row r="20" spans="1:6" s="54" customFormat="1" ht="19.5" customHeight="1" x14ac:dyDescent="0.25">
      <c r="A20" s="114" t="s">
        <v>404</v>
      </c>
      <c r="B20" s="115" t="s">
        <v>403</v>
      </c>
      <c r="C20" s="126">
        <v>0</v>
      </c>
      <c r="D20" s="126">
        <f>'2.Bevételek_részletes'!D21</f>
        <v>0</v>
      </c>
      <c r="E20" s="126"/>
      <c r="F20" s="127">
        <f t="shared" si="0"/>
        <v>0</v>
      </c>
    </row>
    <row r="21" spans="1:6" s="54" customFormat="1" ht="19.5" customHeight="1" x14ac:dyDescent="0.25">
      <c r="A21" s="976" t="s">
        <v>406</v>
      </c>
      <c r="B21" s="16" t="s">
        <v>405</v>
      </c>
      <c r="C21" s="126">
        <v>0</v>
      </c>
      <c r="D21" s="126">
        <f>'2.Bevételek_részletes'!D22</f>
        <v>0</v>
      </c>
      <c r="E21" s="126"/>
      <c r="F21" s="127">
        <f t="shared" si="0"/>
        <v>0</v>
      </c>
    </row>
    <row r="22" spans="1:6" s="54" customFormat="1" ht="19.5" customHeight="1" x14ac:dyDescent="0.25">
      <c r="A22" s="114" t="s">
        <v>408</v>
      </c>
      <c r="B22" s="115" t="s">
        <v>407</v>
      </c>
      <c r="C22" s="126">
        <v>3500</v>
      </c>
      <c r="D22" s="126">
        <f>'2.Bevételek_részletes'!D23</f>
        <v>1540</v>
      </c>
      <c r="E22" s="126"/>
      <c r="F22" s="127">
        <f t="shared" si="0"/>
        <v>1540</v>
      </c>
    </row>
    <row r="23" spans="1:6" s="54" customFormat="1" ht="19.5" customHeight="1" x14ac:dyDescent="0.25">
      <c r="A23" s="122" t="s">
        <v>410</v>
      </c>
      <c r="B23" s="106" t="s">
        <v>409</v>
      </c>
      <c r="C23" s="154">
        <f>SUM(C16:C22)</f>
        <v>146980</v>
      </c>
      <c r="D23" s="154">
        <f>SUM(D16:D22)</f>
        <v>152397.95436</v>
      </c>
      <c r="E23" s="154">
        <f t="shared" ref="E23:F23" si="3">SUM(E16:E22)</f>
        <v>0</v>
      </c>
      <c r="F23" s="155">
        <f t="shared" si="3"/>
        <v>152397.95436</v>
      </c>
    </row>
    <row r="24" spans="1:6" s="54" customFormat="1" ht="19.5" customHeight="1" x14ac:dyDescent="0.25">
      <c r="A24" s="122" t="s">
        <v>416</v>
      </c>
      <c r="B24" s="105" t="s">
        <v>415</v>
      </c>
      <c r="C24" s="126">
        <v>8379</v>
      </c>
      <c r="D24" s="126">
        <f>'2.Bevételek_részletes'!D28</f>
        <v>15750</v>
      </c>
      <c r="E24" s="126"/>
      <c r="F24" s="127">
        <f t="shared" si="0"/>
        <v>15750</v>
      </c>
    </row>
    <row r="25" spans="1:6" s="54" customFormat="1" ht="19.5" customHeight="1" x14ac:dyDescent="0.25">
      <c r="A25" s="122" t="s">
        <v>420</v>
      </c>
      <c r="B25" s="105" t="s">
        <v>419</v>
      </c>
      <c r="C25" s="126">
        <v>0</v>
      </c>
      <c r="D25" s="126">
        <f>'2.Bevételek_részletes'!D30</f>
        <v>0</v>
      </c>
      <c r="E25" s="126"/>
      <c r="F25" s="127">
        <f t="shared" si="0"/>
        <v>0</v>
      </c>
    </row>
    <row r="26" spans="1:6" s="54" customFormat="1" ht="19.5" customHeight="1" x14ac:dyDescent="0.25">
      <c r="A26" s="114" t="s">
        <v>422</v>
      </c>
      <c r="B26" s="115" t="s">
        <v>421</v>
      </c>
      <c r="C26" s="126">
        <v>660</v>
      </c>
      <c r="D26" s="126">
        <f>'2.Bevételek_részletes'!D31</f>
        <v>538</v>
      </c>
      <c r="E26" s="126"/>
      <c r="F26" s="127">
        <f t="shared" si="0"/>
        <v>538</v>
      </c>
    </row>
    <row r="27" spans="1:6" s="54" customFormat="1" ht="19.5" customHeight="1" x14ac:dyDescent="0.25">
      <c r="A27" s="114" t="s">
        <v>424</v>
      </c>
      <c r="B27" s="107" t="s">
        <v>423</v>
      </c>
      <c r="C27" s="126">
        <v>2066</v>
      </c>
      <c r="D27" s="126">
        <f>'2.Bevételek_részletes'!D32</f>
        <v>0</v>
      </c>
      <c r="E27" s="126"/>
      <c r="F27" s="127">
        <f>SUM(D27:E27)</f>
        <v>0</v>
      </c>
    </row>
    <row r="28" spans="1:6" s="54" customFormat="1" ht="19.5" customHeight="1" x14ac:dyDescent="0.25">
      <c r="A28" s="122" t="s">
        <v>426</v>
      </c>
      <c r="B28" s="105" t="s">
        <v>425</v>
      </c>
      <c r="C28" s="154">
        <f>SUM(C26:C27)</f>
        <v>2726</v>
      </c>
      <c r="D28" s="154">
        <f>SUM(D26:D27)</f>
        <v>538</v>
      </c>
      <c r="E28" s="154"/>
      <c r="F28" s="155">
        <f t="shared" si="0"/>
        <v>538</v>
      </c>
    </row>
    <row r="29" spans="1:6" s="54" customFormat="1" ht="19.5" customHeight="1" x14ac:dyDescent="0.25">
      <c r="A29" s="128"/>
      <c r="B29" s="129" t="s">
        <v>98</v>
      </c>
      <c r="C29" s="130">
        <f>SUM(C10,C15,C23,C25)</f>
        <v>1396378</v>
      </c>
      <c r="D29" s="130">
        <f>SUM(D10,D15,D23,D25)</f>
        <v>1480042.5105350001</v>
      </c>
      <c r="E29" s="130">
        <f>SUM(E10,E15,E23,E25)</f>
        <v>0</v>
      </c>
      <c r="F29" s="131">
        <f>SUM(D29:E29)</f>
        <v>1480042.5105350001</v>
      </c>
    </row>
    <row r="30" spans="1:6" s="54" customFormat="1" ht="19.5" customHeight="1" x14ac:dyDescent="0.25">
      <c r="A30" s="128"/>
      <c r="B30" s="129" t="s">
        <v>99</v>
      </c>
      <c r="C30" s="130">
        <f>SUM(C11,C24,C28)</f>
        <v>11105</v>
      </c>
      <c r="D30" s="130">
        <f>SUM(D11,D24,D28)</f>
        <v>16288</v>
      </c>
      <c r="E30" s="130">
        <f>SUM(E11,E24,E28)</f>
        <v>0</v>
      </c>
      <c r="F30" s="131">
        <f>SUM(D30:E30)</f>
        <v>16288</v>
      </c>
    </row>
    <row r="31" spans="1:6" s="54" customFormat="1" ht="19.5" customHeight="1" x14ac:dyDescent="0.25">
      <c r="A31" s="117" t="s">
        <v>428</v>
      </c>
      <c r="B31" s="112" t="s">
        <v>427</v>
      </c>
      <c r="C31" s="123">
        <f>C29+C30</f>
        <v>1407483</v>
      </c>
      <c r="D31" s="123">
        <f>D29+D30</f>
        <v>1496330.5105350001</v>
      </c>
      <c r="E31" s="123">
        <f>SUM(E29:E30)</f>
        <v>0</v>
      </c>
      <c r="F31" s="124">
        <f>SUM(D31:E31)</f>
        <v>1496330.5105350001</v>
      </c>
    </row>
    <row r="32" spans="1:6" ht="19.5" customHeight="1" x14ac:dyDescent="0.25">
      <c r="A32" s="132"/>
      <c r="B32" s="133" t="s">
        <v>429</v>
      </c>
      <c r="C32" s="134">
        <f t="shared" ref="C32:E33" si="4">C29-C64</f>
        <v>818125</v>
      </c>
      <c r="D32" s="134">
        <f t="shared" si="4"/>
        <v>930743.19753500016</v>
      </c>
      <c r="E32" s="134">
        <f t="shared" si="4"/>
        <v>-1227</v>
      </c>
      <c r="F32" s="135">
        <f>SUM(D32:E32)</f>
        <v>929516.19753500016</v>
      </c>
    </row>
    <row r="33" spans="1:7" ht="19.5" customHeight="1" x14ac:dyDescent="0.25">
      <c r="A33" s="132"/>
      <c r="B33" s="133" t="s">
        <v>430</v>
      </c>
      <c r="C33" s="134">
        <f t="shared" si="4"/>
        <v>-281178</v>
      </c>
      <c r="D33" s="134">
        <f t="shared" si="4"/>
        <v>-318370</v>
      </c>
      <c r="E33" s="134">
        <f t="shared" si="4"/>
        <v>0</v>
      </c>
      <c r="F33" s="135">
        <f>SUM(D33:E33)</f>
        <v>-318370</v>
      </c>
    </row>
    <row r="34" spans="1:7" ht="19.5" customHeight="1" x14ac:dyDescent="0.25">
      <c r="A34" s="120" t="s">
        <v>434</v>
      </c>
      <c r="B34" s="107" t="s">
        <v>433</v>
      </c>
      <c r="C34" s="126">
        <v>0</v>
      </c>
      <c r="D34" s="126">
        <f>'2.Bevételek_részletes'!D38</f>
        <v>0</v>
      </c>
      <c r="E34" s="126"/>
      <c r="F34" s="127">
        <v>0</v>
      </c>
    </row>
    <row r="35" spans="1:7" ht="19.5" customHeight="1" x14ac:dyDescent="0.25">
      <c r="A35" s="120" t="s">
        <v>649</v>
      </c>
      <c r="B35" s="107" t="s">
        <v>1058</v>
      </c>
      <c r="C35" s="126"/>
      <c r="D35" s="126">
        <f>'2.Bevételek_részletes'!D40</f>
        <v>150000</v>
      </c>
      <c r="E35" s="126"/>
      <c r="F35" s="127">
        <v>0</v>
      </c>
    </row>
    <row r="36" spans="1:7" ht="19.5" customHeight="1" x14ac:dyDescent="0.25">
      <c r="A36" s="120" t="s">
        <v>436</v>
      </c>
      <c r="B36" s="115" t="s">
        <v>435</v>
      </c>
      <c r="C36" s="126">
        <v>90286</v>
      </c>
      <c r="D36" s="126">
        <f>'2.Bevételek_részletes'!D41</f>
        <v>41809</v>
      </c>
      <c r="E36" s="126"/>
      <c r="F36" s="127">
        <f>SUM(D36:E36)</f>
        <v>41809</v>
      </c>
    </row>
    <row r="37" spans="1:7" ht="19.5" customHeight="1" x14ac:dyDescent="0.25">
      <c r="A37" s="120" t="s">
        <v>436</v>
      </c>
      <c r="B37" s="115" t="s">
        <v>437</v>
      </c>
      <c r="C37" s="126">
        <v>325163</v>
      </c>
      <c r="D37" s="126">
        <f>'2.Bevételek_részletes'!D42</f>
        <v>165373</v>
      </c>
      <c r="E37" s="126"/>
      <c r="F37" s="127">
        <f>SUM(D37:E37)</f>
        <v>165373</v>
      </c>
    </row>
    <row r="38" spans="1:7" ht="19.5" customHeight="1" x14ac:dyDescent="0.25">
      <c r="A38" s="120" t="s">
        <v>439</v>
      </c>
      <c r="B38" s="115" t="s">
        <v>438</v>
      </c>
      <c r="C38" s="154">
        <f>SUM(C36:C37)</f>
        <v>415449</v>
      </c>
      <c r="D38" s="154">
        <f>SUM(D36:D37)</f>
        <v>207182</v>
      </c>
      <c r="E38" s="154">
        <f>SUM(E36:E37)</f>
        <v>0</v>
      </c>
      <c r="F38" s="155">
        <f>SUM(D38:E38)</f>
        <v>207182</v>
      </c>
    </row>
    <row r="39" spans="1:7" ht="19.5" customHeight="1" x14ac:dyDescent="0.25">
      <c r="A39" s="120" t="s">
        <v>441</v>
      </c>
      <c r="B39" s="115" t="s">
        <v>440</v>
      </c>
      <c r="C39" s="126"/>
      <c r="D39" s="126"/>
      <c r="E39" s="126"/>
      <c r="F39" s="127">
        <v>0</v>
      </c>
    </row>
    <row r="40" spans="1:7" s="54" customFormat="1" ht="19.5" customHeight="1" x14ac:dyDescent="0.25">
      <c r="A40" s="146" t="s">
        <v>449</v>
      </c>
      <c r="B40" s="145" t="s">
        <v>448</v>
      </c>
      <c r="C40" s="123">
        <f>C34+C38+C39</f>
        <v>415449</v>
      </c>
      <c r="D40" s="123">
        <f>D34+D38+D39+D35</f>
        <v>357182</v>
      </c>
      <c r="E40" s="123">
        <f>E34+E38+E39</f>
        <v>0</v>
      </c>
      <c r="F40" s="124">
        <f>SUM(D40:E40)</f>
        <v>357182</v>
      </c>
    </row>
    <row r="41" spans="1:7" ht="19.5" customHeight="1" thickBot="1" x14ac:dyDescent="0.3">
      <c r="A41" s="158"/>
      <c r="B41" s="159" t="s">
        <v>362</v>
      </c>
      <c r="C41" s="164">
        <f>C31+C40</f>
        <v>1822932</v>
      </c>
      <c r="D41" s="164">
        <f>D31+D40</f>
        <v>1853512.5105350001</v>
      </c>
      <c r="E41" s="164">
        <f t="shared" ref="E41:F41" si="5">E31+E40</f>
        <v>0</v>
      </c>
      <c r="F41" s="165">
        <f t="shared" si="5"/>
        <v>1853512.5105350001</v>
      </c>
      <c r="G41" s="575"/>
    </row>
    <row r="42" spans="1:7" ht="15" customHeight="1" thickBot="1" x14ac:dyDescent="0.3">
      <c r="A42" s="979"/>
      <c r="B42" s="979"/>
      <c r="C42" s="979"/>
      <c r="D42" s="979"/>
      <c r="E42" s="979"/>
      <c r="F42" s="979"/>
    </row>
    <row r="43" spans="1:7" ht="18.75" x14ac:dyDescent="0.2">
      <c r="A43" s="1830" t="s">
        <v>370</v>
      </c>
      <c r="B43" s="1832" t="s">
        <v>788</v>
      </c>
      <c r="C43" s="1832" t="s">
        <v>1056</v>
      </c>
      <c r="D43" s="1834" t="s">
        <v>1057</v>
      </c>
      <c r="E43" s="1835"/>
      <c r="F43" s="1836"/>
    </row>
    <row r="44" spans="1:7" ht="49.5" x14ac:dyDescent="0.2">
      <c r="A44" s="1831"/>
      <c r="B44" s="1833"/>
      <c r="C44" s="1833"/>
      <c r="D44" s="1386" t="s">
        <v>159</v>
      </c>
      <c r="E44" s="1386" t="s">
        <v>160</v>
      </c>
      <c r="F44" s="1414" t="s">
        <v>371</v>
      </c>
    </row>
    <row r="45" spans="1:7" ht="19.5" customHeight="1" x14ac:dyDescent="0.25">
      <c r="A45" s="103" t="s">
        <v>294</v>
      </c>
      <c r="B45" s="104" t="s">
        <v>1129</v>
      </c>
      <c r="C45" s="154">
        <v>48270</v>
      </c>
      <c r="D45" s="154">
        <f>'2.Kiadások_részletes '!D11-D46-D47-E45</f>
        <v>44713</v>
      </c>
      <c r="E45" s="126">
        <v>1044</v>
      </c>
      <c r="F45" s="155">
        <f>SUM(D45:E45)</f>
        <v>45757</v>
      </c>
    </row>
    <row r="46" spans="1:7" ht="57" customHeight="1" x14ac:dyDescent="0.25">
      <c r="A46" s="103"/>
      <c r="B46" s="104" t="s">
        <v>915</v>
      </c>
      <c r="C46" s="860">
        <v>1190</v>
      </c>
      <c r="D46" s="860">
        <f>'2.Kiadások_részletes '!D10-D47</f>
        <v>900</v>
      </c>
      <c r="E46" s="126"/>
      <c r="F46" s="127">
        <f t="shared" ref="F46:F70" si="6">SUM(D46:E46)</f>
        <v>900</v>
      </c>
    </row>
    <row r="47" spans="1:7" ht="72.75" customHeight="1" x14ac:dyDescent="0.25">
      <c r="A47" s="103"/>
      <c r="B47" s="104" t="s">
        <v>1045</v>
      </c>
      <c r="C47" s="860">
        <v>1900</v>
      </c>
      <c r="D47" s="860">
        <v>1150</v>
      </c>
      <c r="E47" s="126"/>
      <c r="F47" s="127">
        <f t="shared" si="6"/>
        <v>1150</v>
      </c>
    </row>
    <row r="48" spans="1:7" ht="18.75" customHeight="1" x14ac:dyDescent="0.25">
      <c r="A48" s="977" t="s">
        <v>90</v>
      </c>
      <c r="B48" s="200" t="s">
        <v>678</v>
      </c>
      <c r="C48" s="154">
        <v>3090</v>
      </c>
      <c r="D48" s="154">
        <f>SUM(D46:D47)</f>
        <v>2050</v>
      </c>
      <c r="E48" s="154"/>
      <c r="F48" s="155">
        <f t="shared" si="6"/>
        <v>2050</v>
      </c>
    </row>
    <row r="49" spans="1:7" ht="18.75" customHeight="1" x14ac:dyDescent="0.25">
      <c r="A49" s="103" t="s">
        <v>296</v>
      </c>
      <c r="B49" s="115" t="s">
        <v>297</v>
      </c>
      <c r="C49" s="126">
        <v>9204</v>
      </c>
      <c r="D49" s="126">
        <f>'2.Kiadások_részletes '!D12-E49</f>
        <v>8452</v>
      </c>
      <c r="E49" s="126">
        <v>183</v>
      </c>
      <c r="F49" s="127">
        <f t="shared" si="6"/>
        <v>8635</v>
      </c>
    </row>
    <row r="50" spans="1:7" ht="18.75" customHeight="1" x14ac:dyDescent="0.25">
      <c r="A50" s="103" t="s">
        <v>298</v>
      </c>
      <c r="B50" s="115" t="s">
        <v>299</v>
      </c>
      <c r="C50" s="126">
        <v>185781</v>
      </c>
      <c r="D50" s="126">
        <f>'2.Kiadások_részletes '!D13</f>
        <v>204305</v>
      </c>
      <c r="E50" s="126"/>
      <c r="F50" s="127">
        <f t="shared" si="6"/>
        <v>204305</v>
      </c>
    </row>
    <row r="51" spans="1:7" ht="18.75" customHeight="1" x14ac:dyDescent="0.25">
      <c r="A51" s="103" t="s">
        <v>300</v>
      </c>
      <c r="B51" s="107" t="s">
        <v>38</v>
      </c>
      <c r="C51" s="126">
        <v>15566</v>
      </c>
      <c r="D51" s="126">
        <f>'2.Kiadások_részletes '!D14</f>
        <v>15250</v>
      </c>
      <c r="E51" s="126"/>
      <c r="F51" s="127">
        <f t="shared" si="6"/>
        <v>15250</v>
      </c>
    </row>
    <row r="52" spans="1:7" ht="18.75" customHeight="1" x14ac:dyDescent="0.25">
      <c r="A52" s="103" t="s">
        <v>129</v>
      </c>
      <c r="B52" s="108" t="s">
        <v>130</v>
      </c>
      <c r="C52" s="126"/>
      <c r="D52" s="126">
        <f>'2.Kiadások_részletes '!D15</f>
        <v>7050</v>
      </c>
      <c r="E52" s="126"/>
      <c r="F52" s="127">
        <f t="shared" si="6"/>
        <v>7050</v>
      </c>
    </row>
    <row r="53" spans="1:7" ht="18.75" customHeight="1" x14ac:dyDescent="0.25">
      <c r="A53" s="103" t="s">
        <v>301</v>
      </c>
      <c r="B53" s="108" t="s">
        <v>302</v>
      </c>
      <c r="C53" s="126">
        <v>107182</v>
      </c>
      <c r="D53" s="126">
        <f>'2.Kiadások_részletes '!D16</f>
        <v>117211.31299999999</v>
      </c>
      <c r="E53" s="126"/>
      <c r="F53" s="127">
        <f t="shared" si="6"/>
        <v>117211.31299999999</v>
      </c>
    </row>
    <row r="54" spans="1:7" ht="18.75" customHeight="1" x14ac:dyDescent="0.25">
      <c r="A54" s="103" t="s">
        <v>304</v>
      </c>
      <c r="B54" s="108" t="s">
        <v>303</v>
      </c>
      <c r="C54" s="126">
        <v>10706</v>
      </c>
      <c r="D54" s="126">
        <f>'2.Kiadások_részletes '!D17</f>
        <v>14820</v>
      </c>
      <c r="E54" s="126"/>
      <c r="F54" s="127">
        <f t="shared" si="6"/>
        <v>14820</v>
      </c>
    </row>
    <row r="55" spans="1:7" ht="18.75" customHeight="1" x14ac:dyDescent="0.25">
      <c r="A55" s="103" t="s">
        <v>776</v>
      </c>
      <c r="B55" s="109" t="s">
        <v>305</v>
      </c>
      <c r="C55" s="126">
        <v>17100</v>
      </c>
      <c r="D55" s="126">
        <f>'22. Tartalékok (K512)'!D27</f>
        <v>15100</v>
      </c>
      <c r="E55" s="126"/>
      <c r="F55" s="127">
        <f t="shared" si="6"/>
        <v>15100</v>
      </c>
    </row>
    <row r="56" spans="1:7" ht="18.75" customHeight="1" x14ac:dyDescent="0.25">
      <c r="A56" s="103" t="s">
        <v>776</v>
      </c>
      <c r="B56" s="109" t="s">
        <v>163</v>
      </c>
      <c r="C56" s="126">
        <v>1679</v>
      </c>
      <c r="D56" s="126">
        <f>'22. Tartalékok (K512)'!D26</f>
        <v>0</v>
      </c>
      <c r="E56" s="126"/>
      <c r="F56" s="127">
        <f t="shared" si="6"/>
        <v>0</v>
      </c>
    </row>
    <row r="57" spans="1:7" ht="18.75" customHeight="1" x14ac:dyDescent="0.25">
      <c r="A57" s="103" t="s">
        <v>776</v>
      </c>
      <c r="B57" s="109" t="s">
        <v>306</v>
      </c>
      <c r="C57" s="126">
        <v>179675</v>
      </c>
      <c r="D57" s="126">
        <f>'22. Tartalékok (K512)'!D22</f>
        <v>120348</v>
      </c>
      <c r="E57" s="126"/>
      <c r="F57" s="127">
        <f t="shared" si="6"/>
        <v>120348</v>
      </c>
      <c r="G57" s="575"/>
    </row>
    <row r="58" spans="1:7" ht="18.75" customHeight="1" x14ac:dyDescent="0.25">
      <c r="A58" s="103" t="s">
        <v>307</v>
      </c>
      <c r="B58" s="107" t="s">
        <v>308</v>
      </c>
      <c r="C58" s="154">
        <v>316342</v>
      </c>
      <c r="D58" s="154">
        <f>SUM(D52:D57)</f>
        <v>274529.31299999997</v>
      </c>
      <c r="E58" s="154"/>
      <c r="F58" s="155">
        <f t="shared" si="6"/>
        <v>274529.31299999997</v>
      </c>
    </row>
    <row r="59" spans="1:7" ht="18.75" customHeight="1" x14ac:dyDescent="0.25">
      <c r="A59" s="103" t="s">
        <v>309</v>
      </c>
      <c r="B59" s="138" t="s">
        <v>452</v>
      </c>
      <c r="C59" s="126">
        <v>265664</v>
      </c>
      <c r="D59" s="126">
        <f>'2.Kiadások_részletes '!D21</f>
        <v>284549</v>
      </c>
      <c r="E59" s="126"/>
      <c r="F59" s="127">
        <f t="shared" si="6"/>
        <v>284549</v>
      </c>
    </row>
    <row r="60" spans="1:7" ht="18.75" customHeight="1" x14ac:dyDescent="0.25">
      <c r="A60" s="103" t="s">
        <v>310</v>
      </c>
      <c r="B60" s="107" t="s">
        <v>311</v>
      </c>
      <c r="C60" s="126">
        <v>26619</v>
      </c>
      <c r="D60" s="126">
        <f>'2.Kiadások_részletes '!D22</f>
        <v>42263</v>
      </c>
      <c r="E60" s="126"/>
      <c r="F60" s="127">
        <f t="shared" si="6"/>
        <v>42263</v>
      </c>
    </row>
    <row r="61" spans="1:7" ht="18.75" customHeight="1" x14ac:dyDescent="0.25">
      <c r="A61" s="103" t="s">
        <v>259</v>
      </c>
      <c r="B61" s="107" t="s">
        <v>162</v>
      </c>
      <c r="C61" s="126">
        <v>0</v>
      </c>
      <c r="D61" s="126">
        <f>'2.Kiadások_részletes '!D23</f>
        <v>7846</v>
      </c>
      <c r="E61" s="126"/>
      <c r="F61" s="127">
        <f t="shared" si="6"/>
        <v>7846</v>
      </c>
    </row>
    <row r="62" spans="1:7" ht="18.75" customHeight="1" x14ac:dyDescent="0.25">
      <c r="A62" s="103" t="s">
        <v>312</v>
      </c>
      <c r="B62" s="107" t="s">
        <v>313</v>
      </c>
      <c r="C62" s="126">
        <v>0</v>
      </c>
      <c r="D62" s="126">
        <f>'2.Kiadások_részletes '!D24</f>
        <v>0</v>
      </c>
      <c r="E62" s="126"/>
      <c r="F62" s="127">
        <f t="shared" si="6"/>
        <v>0</v>
      </c>
    </row>
    <row r="63" spans="1:7" ht="18.75" customHeight="1" x14ac:dyDescent="0.25">
      <c r="A63" s="103" t="s">
        <v>314</v>
      </c>
      <c r="B63" s="107" t="s">
        <v>315</v>
      </c>
      <c r="C63" s="126">
        <v>0</v>
      </c>
      <c r="D63" s="126">
        <f>SUM(D61:D62)</f>
        <v>7846</v>
      </c>
      <c r="E63" s="126">
        <f>SUM(E61:E62)</f>
        <v>0</v>
      </c>
      <c r="F63" s="127">
        <f t="shared" si="6"/>
        <v>7846</v>
      </c>
    </row>
    <row r="64" spans="1:7" ht="18.75" customHeight="1" x14ac:dyDescent="0.25">
      <c r="A64" s="111"/>
      <c r="B64" s="139" t="s">
        <v>330</v>
      </c>
      <c r="C64" s="130">
        <f>SUM(C45,C49:C51,C58,C48)</f>
        <v>578253</v>
      </c>
      <c r="D64" s="130">
        <f>SUM(D45,D49:D51,D58,D48)</f>
        <v>549299.31299999997</v>
      </c>
      <c r="E64" s="130">
        <f>SUM(E45,E49:E51,E58,E48)</f>
        <v>1227</v>
      </c>
      <c r="F64" s="131">
        <f>SUM(D64:E64)</f>
        <v>550526.31299999997</v>
      </c>
    </row>
    <row r="65" spans="1:6" ht="18.75" customHeight="1" x14ac:dyDescent="0.25">
      <c r="A65" s="111"/>
      <c r="B65" s="139" t="s">
        <v>331</v>
      </c>
      <c r="C65" s="130">
        <f>SUM(C59:C60,C63)</f>
        <v>292283</v>
      </c>
      <c r="D65" s="130">
        <f>SUM(D59:D60,D63)</f>
        <v>334658</v>
      </c>
      <c r="E65" s="130">
        <v>0</v>
      </c>
      <c r="F65" s="131">
        <f>SUM(D65:E65)</f>
        <v>334658</v>
      </c>
    </row>
    <row r="66" spans="1:6" ht="18.75" customHeight="1" x14ac:dyDescent="0.25">
      <c r="A66" s="117" t="s">
        <v>316</v>
      </c>
      <c r="B66" s="112" t="s">
        <v>317</v>
      </c>
      <c r="C66" s="123">
        <f>C64+C65</f>
        <v>870536</v>
      </c>
      <c r="D66" s="123">
        <f>D64+D65</f>
        <v>883957.31299999997</v>
      </c>
      <c r="E66" s="123">
        <f>SUM(E64:E65)</f>
        <v>1227</v>
      </c>
      <c r="F66" s="124">
        <f>SUM(D66:E66)</f>
        <v>885184.31299999997</v>
      </c>
    </row>
    <row r="67" spans="1:6" ht="18.75" customHeight="1" x14ac:dyDescent="0.2">
      <c r="A67" s="120" t="s">
        <v>318</v>
      </c>
      <c r="B67" s="107" t="s">
        <v>260</v>
      </c>
      <c r="C67" s="113">
        <v>1320</v>
      </c>
      <c r="D67" s="113">
        <f>'2.Kiadások_részletes '!D30</f>
        <v>1320</v>
      </c>
      <c r="E67" s="113"/>
      <c r="F67" s="140">
        <f t="shared" si="6"/>
        <v>1320</v>
      </c>
    </row>
    <row r="68" spans="1:6" ht="18.75" customHeight="1" x14ac:dyDescent="0.2">
      <c r="A68" s="312" t="s">
        <v>714</v>
      </c>
      <c r="B68" s="313" t="s">
        <v>824</v>
      </c>
      <c r="C68" s="141">
        <v>20599</v>
      </c>
      <c r="D68" s="141">
        <f>'2.Kiadások_részletes '!D32</f>
        <v>21436</v>
      </c>
      <c r="E68" s="113"/>
      <c r="F68" s="140"/>
    </row>
    <row r="69" spans="1:6" ht="18.75" customHeight="1" x14ac:dyDescent="0.2">
      <c r="A69" s="120" t="s">
        <v>332</v>
      </c>
      <c r="B69" s="107" t="s">
        <v>333</v>
      </c>
      <c r="C69" s="141">
        <v>930477</v>
      </c>
      <c r="D69" s="141">
        <f>'2.Kiadások_részletes '!D33</f>
        <v>945572.37173999997</v>
      </c>
      <c r="E69" s="141"/>
      <c r="F69" s="142">
        <f t="shared" si="6"/>
        <v>945572.37173999997</v>
      </c>
    </row>
    <row r="70" spans="1:6" ht="18.75" customHeight="1" x14ac:dyDescent="0.25">
      <c r="A70" s="146" t="s">
        <v>328</v>
      </c>
      <c r="B70" s="145" t="s">
        <v>41</v>
      </c>
      <c r="C70" s="123">
        <f>SUM(C67:C69)</f>
        <v>952396</v>
      </c>
      <c r="D70" s="123">
        <f>SUM(D67:D69)</f>
        <v>968328.37173999997</v>
      </c>
      <c r="E70" s="123">
        <f>SUM(E67:E69)</f>
        <v>0</v>
      </c>
      <c r="F70" s="124">
        <f t="shared" si="6"/>
        <v>968328.37173999997</v>
      </c>
    </row>
    <row r="71" spans="1:6" ht="18.75" customHeight="1" thickBot="1" x14ac:dyDescent="0.3">
      <c r="A71" s="978"/>
      <c r="B71" s="159" t="s">
        <v>352</v>
      </c>
      <c r="C71" s="164">
        <f>SUM(C66,C70)</f>
        <v>1822932</v>
      </c>
      <c r="D71" s="164">
        <f>SUM(D66,D70)</f>
        <v>1852285.6847399999</v>
      </c>
      <c r="E71" s="164">
        <f>SUM(E66,E70)</f>
        <v>1227</v>
      </c>
      <c r="F71" s="165">
        <f>SUM(D71:E71)</f>
        <v>1853512.6847399999</v>
      </c>
    </row>
    <row r="73" spans="1:6" ht="15" customHeight="1" x14ac:dyDescent="0.2">
      <c r="D73" s="575"/>
      <c r="E73" s="575"/>
      <c r="F73" s="575"/>
    </row>
    <row r="74" spans="1:6" ht="15" customHeight="1" x14ac:dyDescent="0.2">
      <c r="F74" s="575"/>
    </row>
    <row r="75" spans="1:6" ht="15" customHeight="1" x14ac:dyDescent="0.2">
      <c r="F75" s="575"/>
    </row>
  </sheetData>
  <mergeCells count="11">
    <mergeCell ref="A43:A44"/>
    <mergeCell ref="B43:B44"/>
    <mergeCell ref="C43:C44"/>
    <mergeCell ref="D43:F43"/>
    <mergeCell ref="A1:F1"/>
    <mergeCell ref="A2:F2"/>
    <mergeCell ref="A3:F3"/>
    <mergeCell ref="A6:A7"/>
    <mergeCell ref="B6:B7"/>
    <mergeCell ref="C6:C7"/>
    <mergeCell ref="D6:F6"/>
  </mergeCells>
  <printOptions horizontalCentered="1"/>
  <pageMargins left="0" right="0" top="0.19685039370078741" bottom="0.19685039370078741" header="0.31496062992125984" footer="0.31496062992125984"/>
  <pageSetup paperSize="9"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view="pageBreakPreview" zoomScale="90" zoomScaleSheetLayoutView="90" workbookViewId="0">
      <selection sqref="A1:G1"/>
    </sheetView>
  </sheetViews>
  <sheetFormatPr defaultRowHeight="15" customHeight="1" x14ac:dyDescent="0.2"/>
  <cols>
    <col min="1" max="1" width="14" style="97" customWidth="1"/>
    <col min="2" max="2" width="82.7109375" style="97" customWidth="1"/>
    <col min="3" max="3" width="16.7109375" style="97" customWidth="1"/>
    <col min="4" max="4" width="14" style="97" customWidth="1"/>
    <col min="5" max="5" width="15.5703125" style="97" customWidth="1"/>
    <col min="6" max="6" width="16.28515625" style="97" customWidth="1"/>
    <col min="7" max="7" width="16.140625" style="97" customWidth="1"/>
    <col min="8" max="16384" width="9.140625" style="97"/>
  </cols>
  <sheetData>
    <row r="1" spans="1:8" ht="20.25" x14ac:dyDescent="0.3">
      <c r="A1" s="1839" t="str">
        <f>'4. Köt+önk_Önkori'!A1:F1</f>
        <v>Pilisvörösvár Város Önkormányzata Képviselő-testületének 2/2018. (II. 9.) önkormányzati rendelete</v>
      </c>
      <c r="B1" s="1839"/>
      <c r="C1" s="1839"/>
      <c r="D1" s="1839"/>
      <c r="E1" s="1839"/>
      <c r="F1" s="1839"/>
      <c r="G1" s="1839"/>
    </row>
    <row r="2" spans="1:8" ht="20.25" x14ac:dyDescent="0.3">
      <c r="A2" s="1839" t="str">
        <f>'4. Köt+önk_Önkori'!A2:F2</f>
        <v>az Önkormányzat  2018. évi költségvetéséről</v>
      </c>
      <c r="B2" s="1839"/>
      <c r="C2" s="1839"/>
      <c r="D2" s="1839"/>
      <c r="E2" s="1839"/>
      <c r="F2" s="1839"/>
      <c r="G2" s="1839"/>
    </row>
    <row r="3" spans="1:8" ht="15" customHeight="1" x14ac:dyDescent="0.3">
      <c r="A3" s="1046"/>
      <c r="B3" s="1046"/>
      <c r="C3" s="1046"/>
      <c r="D3" s="1046"/>
      <c r="E3" s="1046"/>
      <c r="F3" s="1046"/>
      <c r="G3" s="1046"/>
    </row>
    <row r="4" spans="1:8" ht="29.25" customHeight="1" x14ac:dyDescent="0.3">
      <c r="A4" s="1839" t="str">
        <f>Tartalomjegyzék_2018!B12</f>
        <v>Pilisvörösvári Polgármesteri Hivatal költségvetése kötelező és önként vállalt feladat szerinti bontásban</v>
      </c>
      <c r="B4" s="1839"/>
      <c r="C4" s="1839"/>
      <c r="D4" s="1839"/>
      <c r="E4" s="1839"/>
      <c r="F4" s="1839"/>
      <c r="G4" s="1839"/>
    </row>
    <row r="5" spans="1:8" ht="20.25" x14ac:dyDescent="0.3">
      <c r="A5" s="1046"/>
      <c r="B5" s="1046"/>
      <c r="C5" s="1046"/>
      <c r="D5" s="1046"/>
      <c r="E5" s="1046"/>
      <c r="F5" s="1046"/>
      <c r="G5" s="1036" t="s">
        <v>14</v>
      </c>
    </row>
    <row r="6" spans="1:8" ht="20.25" x14ac:dyDescent="0.3">
      <c r="A6" s="1046"/>
      <c r="B6" s="1046"/>
      <c r="C6" s="1046"/>
      <c r="D6" s="1046"/>
      <c r="E6" s="1046"/>
      <c r="F6" s="1046"/>
      <c r="G6" s="1036"/>
      <c r="H6" s="317"/>
    </row>
    <row r="7" spans="1:8" ht="18.75" customHeight="1" thickBot="1" x14ac:dyDescent="0.35">
      <c r="A7" s="1046"/>
      <c r="B7" s="1046"/>
      <c r="C7" s="1046"/>
      <c r="D7" s="1046"/>
      <c r="E7" s="1046"/>
      <c r="F7" s="1046"/>
      <c r="G7" s="996" t="s">
        <v>329</v>
      </c>
    </row>
    <row r="8" spans="1:8" ht="19.5" customHeight="1" x14ac:dyDescent="0.2">
      <c r="A8" s="1830" t="s">
        <v>370</v>
      </c>
      <c r="B8" s="1832" t="s">
        <v>787</v>
      </c>
      <c r="C8" s="1832" t="s">
        <v>1056</v>
      </c>
      <c r="D8" s="1834" t="s">
        <v>1057</v>
      </c>
      <c r="E8" s="1835"/>
      <c r="F8" s="1835"/>
      <c r="G8" s="1836"/>
    </row>
    <row r="9" spans="1:8" ht="82.5" x14ac:dyDescent="0.2">
      <c r="A9" s="1831"/>
      <c r="B9" s="1833"/>
      <c r="C9" s="1833"/>
      <c r="D9" s="1405" t="s">
        <v>934</v>
      </c>
      <c r="E9" s="1405" t="s">
        <v>935</v>
      </c>
      <c r="F9" s="1405" t="s">
        <v>936</v>
      </c>
      <c r="G9" s="1426" t="s">
        <v>937</v>
      </c>
    </row>
    <row r="10" spans="1:8" s="54" customFormat="1" ht="18.75" x14ac:dyDescent="0.3">
      <c r="A10" s="114" t="s">
        <v>381</v>
      </c>
      <c r="B10" s="1387" t="s">
        <v>380</v>
      </c>
      <c r="C10" s="1201">
        <v>0</v>
      </c>
      <c r="D10" s="1201">
        <f>'2.Bevételek_részletes'!F8</f>
        <v>0</v>
      </c>
      <c r="E10" s="1201"/>
      <c r="F10" s="1201"/>
      <c r="G10" s="1388">
        <f>D10+E10+F10</f>
        <v>0</v>
      </c>
    </row>
    <row r="11" spans="1:8" s="54" customFormat="1" ht="18.75" x14ac:dyDescent="0.3">
      <c r="A11" s="114" t="s">
        <v>383</v>
      </c>
      <c r="B11" s="1387" t="s">
        <v>382</v>
      </c>
      <c r="C11" s="1201">
        <v>0</v>
      </c>
      <c r="D11" s="1201">
        <f>'2.Bevételek_részletes'!F9</f>
        <v>0</v>
      </c>
      <c r="E11" s="1201"/>
      <c r="F11" s="1201"/>
      <c r="G11" s="1388">
        <f>D11+E11+F11</f>
        <v>0</v>
      </c>
    </row>
    <row r="12" spans="1:8" s="54" customFormat="1" ht="18.75" x14ac:dyDescent="0.3">
      <c r="A12" s="122" t="s">
        <v>385</v>
      </c>
      <c r="B12" s="1389" t="s">
        <v>384</v>
      </c>
      <c r="C12" s="1390">
        <v>0</v>
      </c>
      <c r="D12" s="1390">
        <f>SUM(D10:D11)</f>
        <v>0</v>
      </c>
      <c r="E12" s="1390">
        <f t="shared" ref="E12:G12" si="0">SUM(E10:E11)</f>
        <v>0</v>
      </c>
      <c r="F12" s="1390">
        <f t="shared" si="0"/>
        <v>0</v>
      </c>
      <c r="G12" s="1391">
        <f t="shared" si="0"/>
        <v>0</v>
      </c>
    </row>
    <row r="13" spans="1:8" ht="18.75" x14ac:dyDescent="0.3">
      <c r="A13" s="122" t="s">
        <v>389</v>
      </c>
      <c r="B13" s="1389" t="s">
        <v>388</v>
      </c>
      <c r="C13" s="1390">
        <v>0</v>
      </c>
      <c r="D13" s="1390">
        <f>'2.Bevételek_részletes'!F12</f>
        <v>0</v>
      </c>
      <c r="E13" s="1390"/>
      <c r="F13" s="1390"/>
      <c r="G13" s="1391">
        <f>D13+E13+F13</f>
        <v>0</v>
      </c>
    </row>
    <row r="14" spans="1:8" ht="18.75" x14ac:dyDescent="0.3">
      <c r="A14" s="573" t="s">
        <v>153</v>
      </c>
      <c r="B14" s="1392" t="s">
        <v>165</v>
      </c>
      <c r="C14" s="1390">
        <v>0</v>
      </c>
      <c r="D14" s="1390">
        <f>'2.Bevételek_részletes'!F13</f>
        <v>0</v>
      </c>
      <c r="E14" s="1390"/>
      <c r="F14" s="1390"/>
      <c r="G14" s="1391">
        <f>D14+E14+F14</f>
        <v>0</v>
      </c>
    </row>
    <row r="15" spans="1:8" s="54" customFormat="1" ht="18.75" x14ac:dyDescent="0.3">
      <c r="A15" s="114" t="s">
        <v>111</v>
      </c>
      <c r="B15" s="1387" t="s">
        <v>164</v>
      </c>
      <c r="C15" s="1390">
        <v>0</v>
      </c>
      <c r="D15" s="1390">
        <f>'2.Bevételek_részletes'!F14</f>
        <v>0</v>
      </c>
      <c r="E15" s="1390"/>
      <c r="F15" s="1390"/>
      <c r="G15" s="1391">
        <f>D15+E15+F15</f>
        <v>0</v>
      </c>
    </row>
    <row r="16" spans="1:8" s="54" customFormat="1" ht="18.75" x14ac:dyDescent="0.3">
      <c r="A16" s="114" t="s">
        <v>392</v>
      </c>
      <c r="B16" s="1387" t="s">
        <v>161</v>
      </c>
      <c r="C16" s="1390">
        <v>700</v>
      </c>
      <c r="D16" s="1390">
        <f>'2.Bevételek_részletes'!F15</f>
        <v>788</v>
      </c>
      <c r="E16" s="1390"/>
      <c r="F16" s="1390"/>
      <c r="G16" s="1391">
        <f>D16+E16+F16</f>
        <v>788</v>
      </c>
    </row>
    <row r="17" spans="1:7" s="54" customFormat="1" ht="18.75" x14ac:dyDescent="0.3">
      <c r="A17" s="122" t="s">
        <v>394</v>
      </c>
      <c r="B17" s="1389" t="s">
        <v>393</v>
      </c>
      <c r="C17" s="1390">
        <v>700</v>
      </c>
      <c r="D17" s="1390">
        <f>SUM(D14:D16)</f>
        <v>788</v>
      </c>
      <c r="E17" s="1390">
        <f t="shared" ref="E17:G17" si="1">SUM(E14:E16)</f>
        <v>0</v>
      </c>
      <c r="F17" s="1390">
        <f t="shared" si="1"/>
        <v>0</v>
      </c>
      <c r="G17" s="1391">
        <f t="shared" si="1"/>
        <v>788</v>
      </c>
    </row>
    <row r="18" spans="1:7" ht="18.75" x14ac:dyDescent="0.3">
      <c r="A18" s="114" t="s">
        <v>123</v>
      </c>
      <c r="B18" s="307" t="s">
        <v>395</v>
      </c>
      <c r="C18" s="1201">
        <v>3570</v>
      </c>
      <c r="D18" s="1201">
        <v>0</v>
      </c>
      <c r="E18" s="1201">
        <f>'15. Működési bev. (B3,B4)'!G22</f>
        <v>3824</v>
      </c>
      <c r="F18" s="1201"/>
      <c r="G18" s="1388">
        <f>D18+E18+F18</f>
        <v>3824</v>
      </c>
    </row>
    <row r="19" spans="1:7" ht="18.75" x14ac:dyDescent="0.3">
      <c r="A19" s="114" t="s">
        <v>122</v>
      </c>
      <c r="B19" s="1387" t="s">
        <v>125</v>
      </c>
      <c r="C19" s="1201">
        <v>73063</v>
      </c>
      <c r="D19" s="1201">
        <f>'2.Bevételek_részletes'!F18-F19-E19</f>
        <v>19977.999999999993</v>
      </c>
      <c r="E19" s="1201">
        <f>'15. Működési bev. (B3,B4)'!G28</f>
        <v>1549.4</v>
      </c>
      <c r="F19" s="1201">
        <f>'15. Működési bev. (B3,B4)'!G33</f>
        <v>81543</v>
      </c>
      <c r="G19" s="1388">
        <f t="shared" ref="G19:G25" si="2">D19+E19+F19</f>
        <v>103070.39999999999</v>
      </c>
    </row>
    <row r="20" spans="1:7" ht="18.75" x14ac:dyDescent="0.3">
      <c r="A20" s="114" t="s">
        <v>121</v>
      </c>
      <c r="B20" s="1387" t="s">
        <v>116</v>
      </c>
      <c r="C20" s="1201">
        <v>1700</v>
      </c>
      <c r="D20" s="1201">
        <f>'2.Bevételek_részletes'!F19</f>
        <v>2688.576</v>
      </c>
      <c r="E20" s="1201"/>
      <c r="F20" s="1201"/>
      <c r="G20" s="1388">
        <f t="shared" si="2"/>
        <v>2688.576</v>
      </c>
    </row>
    <row r="21" spans="1:7" ht="18.75" x14ac:dyDescent="0.3">
      <c r="A21" s="114" t="s">
        <v>402</v>
      </c>
      <c r="B21" s="1387" t="s">
        <v>401</v>
      </c>
      <c r="C21" s="1201">
        <v>0</v>
      </c>
      <c r="D21" s="1201">
        <f>'2.Bevételek_részletes'!F20</f>
        <v>0</v>
      </c>
      <c r="E21" s="1201"/>
      <c r="F21" s="1201"/>
      <c r="G21" s="1388">
        <f t="shared" si="2"/>
        <v>0</v>
      </c>
    </row>
    <row r="22" spans="1:7" ht="18.75" x14ac:dyDescent="0.3">
      <c r="A22" s="114" t="s">
        <v>404</v>
      </c>
      <c r="B22" s="1387" t="s">
        <v>403</v>
      </c>
      <c r="C22" s="1201">
        <v>39325</v>
      </c>
      <c r="D22" s="1201">
        <f>'2.Bevételek_részletes'!F21</f>
        <v>23310.394</v>
      </c>
      <c r="E22" s="1201"/>
      <c r="F22" s="1201"/>
      <c r="G22" s="1388">
        <f t="shared" si="2"/>
        <v>23310.394</v>
      </c>
    </row>
    <row r="23" spans="1:7" ht="18.75" x14ac:dyDescent="0.3">
      <c r="A23" s="114" t="s">
        <v>406</v>
      </c>
      <c r="B23" s="1387" t="s">
        <v>86</v>
      </c>
      <c r="C23" s="1201">
        <v>0</v>
      </c>
      <c r="D23" s="1201">
        <f>'2.Bevételek_részletes'!F22</f>
        <v>0</v>
      </c>
      <c r="E23" s="1201"/>
      <c r="F23" s="1201"/>
      <c r="G23" s="1388">
        <f t="shared" si="2"/>
        <v>0</v>
      </c>
    </row>
    <row r="24" spans="1:7" ht="18.75" x14ac:dyDescent="0.3">
      <c r="A24" s="114" t="s">
        <v>408</v>
      </c>
      <c r="B24" s="1387" t="s">
        <v>407</v>
      </c>
      <c r="C24" s="1201">
        <v>0</v>
      </c>
      <c r="D24" s="1201">
        <f>'2.Bevételek_részletes'!F22</f>
        <v>0</v>
      </c>
      <c r="E24" s="1201"/>
      <c r="F24" s="1201"/>
      <c r="G24" s="1388">
        <f t="shared" si="2"/>
        <v>0</v>
      </c>
    </row>
    <row r="25" spans="1:7" ht="18.75" x14ac:dyDescent="0.3">
      <c r="A25" s="114" t="s">
        <v>849</v>
      </c>
      <c r="B25" s="1387" t="s">
        <v>920</v>
      </c>
      <c r="C25" s="1201">
        <v>0</v>
      </c>
      <c r="D25" s="1201">
        <f>'15. Működési bev. (B3,B4)'!G50</f>
        <v>455</v>
      </c>
      <c r="E25" s="1201"/>
      <c r="F25" s="1201"/>
      <c r="G25" s="1388">
        <f t="shared" si="2"/>
        <v>455</v>
      </c>
    </row>
    <row r="26" spans="1:7" s="54" customFormat="1" ht="18.75" x14ac:dyDescent="0.3">
      <c r="A26" s="122" t="s">
        <v>410</v>
      </c>
      <c r="B26" s="313" t="s">
        <v>409</v>
      </c>
      <c r="C26" s="1390">
        <f>SUM(C18:C25)</f>
        <v>117658</v>
      </c>
      <c r="D26" s="1390">
        <f>SUM(D18:D25)</f>
        <v>46431.969999999994</v>
      </c>
      <c r="E26" s="1390">
        <f t="shared" ref="E26:F26" si="3">SUM(E18:E24)</f>
        <v>5373.4</v>
      </c>
      <c r="F26" s="1390">
        <f t="shared" si="3"/>
        <v>81543</v>
      </c>
      <c r="G26" s="1391">
        <f>SUM(G18:G25)</f>
        <v>133348.37</v>
      </c>
    </row>
    <row r="27" spans="1:7" s="54" customFormat="1" ht="18.75" x14ac:dyDescent="0.3">
      <c r="A27" s="122" t="s">
        <v>416</v>
      </c>
      <c r="B27" s="1389" t="s">
        <v>415</v>
      </c>
      <c r="C27" s="1390">
        <v>0</v>
      </c>
      <c r="D27" s="1390">
        <f>'2.Bevételek_részletes'!F28</f>
        <v>0</v>
      </c>
      <c r="E27" s="1390"/>
      <c r="F27" s="1390"/>
      <c r="G27" s="1391">
        <f>D27+E27+F27</f>
        <v>0</v>
      </c>
    </row>
    <row r="28" spans="1:7" s="54" customFormat="1" ht="18.75" x14ac:dyDescent="0.3">
      <c r="A28" s="122" t="s">
        <v>420</v>
      </c>
      <c r="B28" s="1389" t="s">
        <v>419</v>
      </c>
      <c r="C28" s="1390">
        <v>0</v>
      </c>
      <c r="D28" s="1390">
        <f>'2.Bevételek_részletes'!F30</f>
        <v>0</v>
      </c>
      <c r="E28" s="1390"/>
      <c r="F28" s="1390"/>
      <c r="G28" s="1391">
        <f>D28+E28+F28</f>
        <v>0</v>
      </c>
    </row>
    <row r="29" spans="1:7" s="54" customFormat="1" ht="40.5" customHeight="1" x14ac:dyDescent="0.3">
      <c r="A29" s="114" t="s">
        <v>422</v>
      </c>
      <c r="B29" s="1387" t="s">
        <v>421</v>
      </c>
      <c r="C29" s="1390">
        <v>0</v>
      </c>
      <c r="D29" s="1390">
        <f>'2.Bevételek_részletes'!F31</f>
        <v>0</v>
      </c>
      <c r="E29" s="1390"/>
      <c r="F29" s="1390"/>
      <c r="G29" s="1391">
        <f>D29+E29+F29</f>
        <v>0</v>
      </c>
    </row>
    <row r="30" spans="1:7" s="54" customFormat="1" ht="18.75" x14ac:dyDescent="0.3">
      <c r="A30" s="114" t="s">
        <v>424</v>
      </c>
      <c r="B30" s="307" t="s">
        <v>423</v>
      </c>
      <c r="C30" s="1390">
        <v>0</v>
      </c>
      <c r="D30" s="1390">
        <f>'2.Bevételek_részletes'!F32</f>
        <v>0</v>
      </c>
      <c r="E30" s="1390"/>
      <c r="F30" s="1390"/>
      <c r="G30" s="1391">
        <f>D30+E30+F30</f>
        <v>0</v>
      </c>
    </row>
    <row r="31" spans="1:7" s="54" customFormat="1" ht="18.75" x14ac:dyDescent="0.3">
      <c r="A31" s="122" t="s">
        <v>426</v>
      </c>
      <c r="B31" s="1389" t="s">
        <v>425</v>
      </c>
      <c r="C31" s="1390">
        <v>0</v>
      </c>
      <c r="D31" s="1390">
        <f>SUM(D29:D30)</f>
        <v>0</v>
      </c>
      <c r="E31" s="1390">
        <f t="shared" ref="E31:G31" si="4">SUM(E29:E30)</f>
        <v>0</v>
      </c>
      <c r="F31" s="1390">
        <f t="shared" si="4"/>
        <v>0</v>
      </c>
      <c r="G31" s="1391">
        <f t="shared" si="4"/>
        <v>0</v>
      </c>
    </row>
    <row r="32" spans="1:7" s="54" customFormat="1" ht="18.75" x14ac:dyDescent="0.3">
      <c r="A32" s="128"/>
      <c r="B32" s="1393" t="s">
        <v>98</v>
      </c>
      <c r="C32" s="1394">
        <f>SUM(C11,C16,C26,C28)</f>
        <v>118358</v>
      </c>
      <c r="D32" s="1394">
        <f>SUM(D11,D16,D26,D28)</f>
        <v>47219.969999999994</v>
      </c>
      <c r="E32" s="1394">
        <f t="shared" ref="E32:G32" si="5">SUM(E11,E16,E26,E28)</f>
        <v>5373.4</v>
      </c>
      <c r="F32" s="1394">
        <f t="shared" si="5"/>
        <v>81543</v>
      </c>
      <c r="G32" s="1395">
        <f t="shared" si="5"/>
        <v>134136.37</v>
      </c>
    </row>
    <row r="33" spans="1:8" ht="18.75" x14ac:dyDescent="0.3">
      <c r="A33" s="128"/>
      <c r="B33" s="1393" t="s">
        <v>99</v>
      </c>
      <c r="C33" s="1394">
        <f>SUM(C12,C27,C31)</f>
        <v>0</v>
      </c>
      <c r="D33" s="1394">
        <f>SUM(D12,D27,D31)</f>
        <v>0</v>
      </c>
      <c r="E33" s="1394">
        <f t="shared" ref="E33:G33" si="6">SUM(E12,E27,E31)</f>
        <v>0</v>
      </c>
      <c r="F33" s="1394">
        <f t="shared" si="6"/>
        <v>0</v>
      </c>
      <c r="G33" s="1395">
        <f t="shared" si="6"/>
        <v>0</v>
      </c>
    </row>
    <row r="34" spans="1:8" ht="18.75" x14ac:dyDescent="0.3">
      <c r="A34" s="117" t="s">
        <v>428</v>
      </c>
      <c r="B34" s="309" t="s">
        <v>427</v>
      </c>
      <c r="C34" s="1396">
        <f>C32+C33</f>
        <v>118358</v>
      </c>
      <c r="D34" s="1396">
        <f>D32+D33</f>
        <v>47219.969999999994</v>
      </c>
      <c r="E34" s="1396">
        <f t="shared" ref="E34:G34" si="7">E32+E33</f>
        <v>5373.4</v>
      </c>
      <c r="F34" s="1396">
        <f t="shared" si="7"/>
        <v>81543</v>
      </c>
      <c r="G34" s="1397">
        <f t="shared" si="7"/>
        <v>134136.37</v>
      </c>
    </row>
    <row r="35" spans="1:8" ht="18.75" x14ac:dyDescent="0.3">
      <c r="A35" s="132"/>
      <c r="B35" s="1398" t="s">
        <v>429</v>
      </c>
      <c r="C35" s="1399">
        <f>C32-C63</f>
        <v>-427520</v>
      </c>
      <c r="D35" s="1399">
        <f>D32-D63</f>
        <v>-430914.77174</v>
      </c>
      <c r="E35" s="1399">
        <f t="shared" ref="E35:G35" si="8">E32-E63</f>
        <v>-2848.6000000000004</v>
      </c>
      <c r="F35" s="1399">
        <f t="shared" si="8"/>
        <v>17168</v>
      </c>
      <c r="G35" s="1400">
        <f t="shared" si="8"/>
        <v>-416595.37173999997</v>
      </c>
    </row>
    <row r="36" spans="1:8" ht="18.75" x14ac:dyDescent="0.3">
      <c r="A36" s="132"/>
      <c r="B36" s="1398" t="s">
        <v>430</v>
      </c>
      <c r="C36" s="1399">
        <f>C33-C64</f>
        <v>-11660</v>
      </c>
      <c r="D36" s="1399">
        <f>D33-D64</f>
        <v>-6508</v>
      </c>
      <c r="E36" s="1399">
        <f t="shared" ref="E36:G36" si="9">E33-E64</f>
        <v>0</v>
      </c>
      <c r="F36" s="1399">
        <f t="shared" si="9"/>
        <v>0</v>
      </c>
      <c r="G36" s="1400">
        <f t="shared" si="9"/>
        <v>-6508</v>
      </c>
    </row>
    <row r="37" spans="1:8" ht="18.75" x14ac:dyDescent="0.3">
      <c r="A37" s="120" t="s">
        <v>434</v>
      </c>
      <c r="B37" s="307" t="s">
        <v>433</v>
      </c>
      <c r="C37" s="1201">
        <v>0</v>
      </c>
      <c r="D37" s="1201">
        <f>'2.Bevételek_részletes'!F37</f>
        <v>0</v>
      </c>
      <c r="E37" s="1201"/>
      <c r="F37" s="1201"/>
      <c r="G37" s="1388">
        <f>D37+E37+F37</f>
        <v>0</v>
      </c>
    </row>
    <row r="38" spans="1:8" ht="42.75" customHeight="1" x14ac:dyDescent="0.3">
      <c r="A38" s="120" t="s">
        <v>436</v>
      </c>
      <c r="B38" s="1387" t="s">
        <v>435</v>
      </c>
      <c r="C38" s="1201">
        <v>0</v>
      </c>
      <c r="D38" s="1201">
        <f>'2.Bevételek_részletes'!F41</f>
        <v>0</v>
      </c>
      <c r="E38" s="1201"/>
      <c r="F38" s="1201"/>
      <c r="G38" s="1388">
        <f>D38+E38+F38</f>
        <v>0</v>
      </c>
    </row>
    <row r="39" spans="1:8" ht="37.5" x14ac:dyDescent="0.3">
      <c r="A39" s="120" t="s">
        <v>436</v>
      </c>
      <c r="B39" s="1387" t="s">
        <v>437</v>
      </c>
      <c r="C39" s="1201">
        <v>0</v>
      </c>
      <c r="D39" s="1201">
        <f>'2.Bevételek_részletes'!F42</f>
        <v>0</v>
      </c>
      <c r="E39" s="1201"/>
      <c r="F39" s="1201"/>
      <c r="G39" s="1388">
        <f>D39+E39+F39</f>
        <v>0</v>
      </c>
    </row>
    <row r="40" spans="1:8" s="54" customFormat="1" ht="18.75" x14ac:dyDescent="0.3">
      <c r="A40" s="1243" t="s">
        <v>439</v>
      </c>
      <c r="B40" s="1389" t="s">
        <v>438</v>
      </c>
      <c r="C40" s="1390">
        <v>0</v>
      </c>
      <c r="D40" s="1390">
        <f>SUM(D38:D39)</f>
        <v>0</v>
      </c>
      <c r="E40" s="1390">
        <f t="shared" ref="E40:G40" si="10">SUM(E38:E39)</f>
        <v>0</v>
      </c>
      <c r="F40" s="1390">
        <f t="shared" si="10"/>
        <v>0</v>
      </c>
      <c r="G40" s="1391">
        <f t="shared" si="10"/>
        <v>0</v>
      </c>
    </row>
    <row r="41" spans="1:8" ht="18.75" x14ac:dyDescent="0.3">
      <c r="A41" s="120" t="s">
        <v>441</v>
      </c>
      <c r="B41" s="1387" t="s">
        <v>440</v>
      </c>
      <c r="C41" s="1201">
        <v>439180</v>
      </c>
      <c r="D41" s="1201">
        <f>'2.Bevételek_részletes'!F44</f>
        <v>423103.37173999997</v>
      </c>
      <c r="E41" s="1201"/>
      <c r="F41" s="1201"/>
      <c r="G41" s="1388">
        <f>D41+E41+F41</f>
        <v>423103.37173999997</v>
      </c>
    </row>
    <row r="42" spans="1:8" ht="18.75" x14ac:dyDescent="0.3">
      <c r="A42" s="146" t="s">
        <v>449</v>
      </c>
      <c r="B42" s="1401" t="s">
        <v>448</v>
      </c>
      <c r="C42" s="1396">
        <f>C37+C40+C41</f>
        <v>439180</v>
      </c>
      <c r="D42" s="1396">
        <f>D37+D40+D41</f>
        <v>423103.37173999997</v>
      </c>
      <c r="E42" s="1396">
        <f>E37+E40+E41</f>
        <v>0</v>
      </c>
      <c r="F42" s="1396">
        <f>F37+F40+F41</f>
        <v>0</v>
      </c>
      <c r="G42" s="1397">
        <f>D42+E42+F42</f>
        <v>423103.37173999997</v>
      </c>
    </row>
    <row r="43" spans="1:8" ht="19.5" thickBot="1" x14ac:dyDescent="0.35">
      <c r="A43" s="158"/>
      <c r="B43" s="1402" t="s">
        <v>362</v>
      </c>
      <c r="C43" s="1403">
        <f>C34+C42</f>
        <v>557538</v>
      </c>
      <c r="D43" s="1403">
        <f>D34+D42</f>
        <v>470323.34173999995</v>
      </c>
      <c r="E43" s="1403">
        <f t="shared" ref="E43:G43" si="11">E34+E42</f>
        <v>5373.4</v>
      </c>
      <c r="F43" s="1403">
        <f t="shared" si="11"/>
        <v>81543</v>
      </c>
      <c r="G43" s="1404">
        <f t="shared" si="11"/>
        <v>557239.74173999997</v>
      </c>
      <c r="H43" s="575"/>
    </row>
    <row r="44" spans="1:8" ht="15" customHeight="1" thickBot="1" x14ac:dyDescent="0.3">
      <c r="A44" s="1157"/>
      <c r="B44" s="1157"/>
      <c r="C44" s="1157"/>
      <c r="D44" s="1157"/>
      <c r="E44" s="1157"/>
      <c r="F44" s="1157"/>
      <c r="G44" s="1157"/>
    </row>
    <row r="45" spans="1:8" ht="39.75" customHeight="1" x14ac:dyDescent="0.2">
      <c r="A45" s="1830" t="s">
        <v>370</v>
      </c>
      <c r="B45" s="1832" t="s">
        <v>792</v>
      </c>
      <c r="C45" s="1832" t="s">
        <v>1056</v>
      </c>
      <c r="D45" s="1834" t="s">
        <v>1057</v>
      </c>
      <c r="E45" s="1835"/>
      <c r="F45" s="1835"/>
      <c r="G45" s="1836"/>
    </row>
    <row r="46" spans="1:8" ht="93.75" customHeight="1" x14ac:dyDescent="0.2">
      <c r="A46" s="1831"/>
      <c r="B46" s="1833"/>
      <c r="C46" s="1833"/>
      <c r="D46" s="1405" t="s">
        <v>934</v>
      </c>
      <c r="E46" s="1405" t="s">
        <v>935</v>
      </c>
      <c r="F46" s="1405" t="s">
        <v>936</v>
      </c>
      <c r="G46" s="1426" t="s">
        <v>937</v>
      </c>
    </row>
    <row r="47" spans="1:8" ht="18.75" x14ac:dyDescent="0.3">
      <c r="A47" s="103" t="s">
        <v>294</v>
      </c>
      <c r="B47" s="1406" t="s">
        <v>295</v>
      </c>
      <c r="C47" s="1201">
        <v>270659</v>
      </c>
      <c r="D47" s="1201">
        <f>'2.Kiadások_részletes '!F11-F47</f>
        <v>291280</v>
      </c>
      <c r="E47" s="1201"/>
      <c r="F47" s="1201">
        <v>2000</v>
      </c>
      <c r="G47" s="1388">
        <f t="shared" ref="G47:G56" si="12">D47+E47+F47</f>
        <v>293280</v>
      </c>
    </row>
    <row r="48" spans="1:8" ht="18.75" x14ac:dyDescent="0.3">
      <c r="A48" s="103" t="s">
        <v>296</v>
      </c>
      <c r="B48" s="1387" t="s">
        <v>297</v>
      </c>
      <c r="C48" s="1201">
        <v>60100</v>
      </c>
      <c r="D48" s="1201">
        <f>'2.Kiadások_részletes '!F12-F48</f>
        <v>57916</v>
      </c>
      <c r="E48" s="1201"/>
      <c r="F48" s="1201">
        <f>2000*0.195</f>
        <v>390</v>
      </c>
      <c r="G48" s="1388">
        <f t="shared" si="12"/>
        <v>58306</v>
      </c>
    </row>
    <row r="49" spans="1:7" ht="18.75" x14ac:dyDescent="0.3">
      <c r="A49" s="103" t="s">
        <v>298</v>
      </c>
      <c r="B49" s="1387" t="s">
        <v>299</v>
      </c>
      <c r="C49" s="1201">
        <v>211319</v>
      </c>
      <c r="D49" s="1201">
        <f>'2.Kiadások_részletes '!F13-F49-E49</f>
        <v>124738.74174</v>
      </c>
      <c r="E49" s="1201">
        <f>'18. Dologi kiadások cofog(K3)'!G29</f>
        <v>8222</v>
      </c>
      <c r="F49" s="1201">
        <f>'18. Dologi kiadások cofog(K3)'!G37</f>
        <v>61985</v>
      </c>
      <c r="G49" s="1388">
        <f t="shared" si="12"/>
        <v>194945.74174</v>
      </c>
    </row>
    <row r="50" spans="1:7" ht="18.75" x14ac:dyDescent="0.3">
      <c r="A50" s="103" t="s">
        <v>300</v>
      </c>
      <c r="B50" s="307" t="s">
        <v>38</v>
      </c>
      <c r="C50" s="1201">
        <v>3800</v>
      </c>
      <c r="D50" s="1201">
        <f>'2.Kiadások_részletes '!F14</f>
        <v>4200</v>
      </c>
      <c r="E50" s="1201"/>
      <c r="F50" s="1201"/>
      <c r="G50" s="1388">
        <f t="shared" si="12"/>
        <v>4200</v>
      </c>
    </row>
    <row r="51" spans="1:7" ht="18.75" x14ac:dyDescent="0.3">
      <c r="A51" s="103" t="s">
        <v>129</v>
      </c>
      <c r="B51" s="307" t="s">
        <v>130</v>
      </c>
      <c r="C51" s="1201">
        <v>0</v>
      </c>
      <c r="D51" s="1201"/>
      <c r="E51" s="1201"/>
      <c r="F51" s="1201"/>
      <c r="G51" s="1388">
        <f t="shared" si="12"/>
        <v>0</v>
      </c>
    </row>
    <row r="52" spans="1:7" ht="18.75" x14ac:dyDescent="0.3">
      <c r="A52" s="103" t="s">
        <v>301</v>
      </c>
      <c r="B52" s="341" t="s">
        <v>302</v>
      </c>
      <c r="C52" s="1201">
        <v>0</v>
      </c>
      <c r="D52" s="1201">
        <f>'2.Kiadások_részletes '!F16</f>
        <v>0</v>
      </c>
      <c r="E52" s="1201"/>
      <c r="F52" s="1201"/>
      <c r="G52" s="1388">
        <f t="shared" si="12"/>
        <v>0</v>
      </c>
    </row>
    <row r="53" spans="1:7" ht="18.75" x14ac:dyDescent="0.3">
      <c r="A53" s="103" t="s">
        <v>304</v>
      </c>
      <c r="B53" s="341" t="s">
        <v>303</v>
      </c>
      <c r="C53" s="1201">
        <v>0</v>
      </c>
      <c r="D53" s="1201">
        <f>'2.Kiadások_részletes '!F17</f>
        <v>0</v>
      </c>
      <c r="E53" s="1201"/>
      <c r="F53" s="1201"/>
      <c r="G53" s="1388">
        <f t="shared" si="12"/>
        <v>0</v>
      </c>
    </row>
    <row r="54" spans="1:7" ht="18.75" x14ac:dyDescent="0.3">
      <c r="A54" s="103" t="s">
        <v>776</v>
      </c>
      <c r="B54" s="1086" t="s">
        <v>305</v>
      </c>
      <c r="C54" s="1201">
        <v>0</v>
      </c>
      <c r="D54" s="1201"/>
      <c r="E54" s="1201"/>
      <c r="F54" s="1201"/>
      <c r="G54" s="1388">
        <f t="shared" si="12"/>
        <v>0</v>
      </c>
    </row>
    <row r="55" spans="1:7" ht="18.75" x14ac:dyDescent="0.3">
      <c r="A55" s="103" t="s">
        <v>776</v>
      </c>
      <c r="B55" s="1086" t="s">
        <v>163</v>
      </c>
      <c r="C55" s="1201">
        <v>0</v>
      </c>
      <c r="D55" s="1201"/>
      <c r="E55" s="1201"/>
      <c r="F55" s="1201"/>
      <c r="G55" s="1388">
        <f t="shared" si="12"/>
        <v>0</v>
      </c>
    </row>
    <row r="56" spans="1:7" ht="18.75" x14ac:dyDescent="0.3">
      <c r="A56" s="103" t="s">
        <v>776</v>
      </c>
      <c r="B56" s="1086" t="s">
        <v>306</v>
      </c>
      <c r="C56" s="1201">
        <v>0</v>
      </c>
      <c r="D56" s="1201"/>
      <c r="E56" s="1201"/>
      <c r="F56" s="1201"/>
      <c r="G56" s="1388">
        <f t="shared" si="12"/>
        <v>0</v>
      </c>
    </row>
    <row r="57" spans="1:7" ht="18.75" x14ac:dyDescent="0.3">
      <c r="A57" s="103" t="s">
        <v>307</v>
      </c>
      <c r="B57" s="307" t="s">
        <v>308</v>
      </c>
      <c r="C57" s="1201">
        <v>0</v>
      </c>
      <c r="D57" s="1201">
        <f>SUM(D52:D56)</f>
        <v>0</v>
      </c>
      <c r="E57" s="1201">
        <f t="shared" ref="E57:G57" si="13">SUM(E52:E56)</f>
        <v>0</v>
      </c>
      <c r="F57" s="1201">
        <f t="shared" si="13"/>
        <v>0</v>
      </c>
      <c r="G57" s="1388">
        <f t="shared" si="13"/>
        <v>0</v>
      </c>
    </row>
    <row r="58" spans="1:7" ht="18.75" x14ac:dyDescent="0.3">
      <c r="A58" s="103" t="s">
        <v>309</v>
      </c>
      <c r="B58" s="1407" t="s">
        <v>452</v>
      </c>
      <c r="C58" s="1201">
        <v>11660</v>
      </c>
      <c r="D58" s="1201">
        <f>'2.Kiadások_részletes '!F21-F58</f>
        <v>6508</v>
      </c>
      <c r="E58" s="1201"/>
      <c r="F58" s="1201"/>
      <c r="G58" s="1388">
        <f>D58+E58+F58</f>
        <v>6508</v>
      </c>
    </row>
    <row r="59" spans="1:7" ht="18.75" x14ac:dyDescent="0.3">
      <c r="A59" s="103" t="s">
        <v>310</v>
      </c>
      <c r="B59" s="307" t="s">
        <v>311</v>
      </c>
      <c r="C59" s="1201">
        <v>0</v>
      </c>
      <c r="D59" s="1201">
        <f>'2.Kiadások_részletes '!E22</f>
        <v>0</v>
      </c>
      <c r="E59" s="1201"/>
      <c r="F59" s="1201"/>
      <c r="G59" s="1388">
        <f>D59+E59+F59</f>
        <v>0</v>
      </c>
    </row>
    <row r="60" spans="1:7" ht="18.75" x14ac:dyDescent="0.3">
      <c r="A60" s="103" t="s">
        <v>259</v>
      </c>
      <c r="B60" s="307" t="s">
        <v>162</v>
      </c>
      <c r="C60" s="1201">
        <v>0</v>
      </c>
      <c r="D60" s="1201">
        <f>'2.Kiadások_részletes '!E23</f>
        <v>0</v>
      </c>
      <c r="E60" s="1201"/>
      <c r="F60" s="1201"/>
      <c r="G60" s="1388">
        <f>D60+E60+F60</f>
        <v>0</v>
      </c>
    </row>
    <row r="61" spans="1:7" ht="18.75" x14ac:dyDescent="0.3">
      <c r="A61" s="103" t="s">
        <v>312</v>
      </c>
      <c r="B61" s="307" t="s">
        <v>313</v>
      </c>
      <c r="C61" s="1201">
        <v>0</v>
      </c>
      <c r="D61" s="1201">
        <f>'2.Kiadások_részletes '!E24</f>
        <v>0</v>
      </c>
      <c r="E61" s="1201"/>
      <c r="F61" s="1201"/>
      <c r="G61" s="1388">
        <f>D61+E61+F61</f>
        <v>0</v>
      </c>
    </row>
    <row r="62" spans="1:7" ht="18.75" x14ac:dyDescent="0.3">
      <c r="A62" s="103" t="s">
        <v>314</v>
      </c>
      <c r="B62" s="307" t="s">
        <v>315</v>
      </c>
      <c r="C62" s="1201">
        <v>0</v>
      </c>
      <c r="D62" s="1201">
        <f>SUM(D60:D61)</f>
        <v>0</v>
      </c>
      <c r="E62" s="1201">
        <f t="shared" ref="E62:G62" si="14">SUM(E60:E61)</f>
        <v>0</v>
      </c>
      <c r="F62" s="1201">
        <f t="shared" si="14"/>
        <v>0</v>
      </c>
      <c r="G62" s="1388">
        <f t="shared" si="14"/>
        <v>0</v>
      </c>
    </row>
    <row r="63" spans="1:7" ht="18.75" x14ac:dyDescent="0.3">
      <c r="A63" s="147"/>
      <c r="B63" s="1408" t="s">
        <v>330</v>
      </c>
      <c r="C63" s="1409">
        <f>SUM(C47:C50,C57)</f>
        <v>545878</v>
      </c>
      <c r="D63" s="1409">
        <f>SUM(D47:D50,D57)</f>
        <v>478134.74173999997</v>
      </c>
      <c r="E63" s="1409">
        <f t="shared" ref="E63:G63" si="15">SUM(E47:E50,E57)</f>
        <v>8222</v>
      </c>
      <c r="F63" s="1409">
        <f t="shared" si="15"/>
        <v>64375</v>
      </c>
      <c r="G63" s="1427">
        <f t="shared" si="15"/>
        <v>550731.74173999997</v>
      </c>
    </row>
    <row r="64" spans="1:7" ht="18.75" x14ac:dyDescent="0.3">
      <c r="A64" s="147"/>
      <c r="B64" s="1408" t="s">
        <v>331</v>
      </c>
      <c r="C64" s="1409">
        <f>SUM(C58:C62,C62)</f>
        <v>11660</v>
      </c>
      <c r="D64" s="1409">
        <f>SUM(D58:D62,D62)</f>
        <v>6508</v>
      </c>
      <c r="E64" s="1409">
        <f t="shared" ref="E64:G64" si="16">SUM(E58:E62,E62)</f>
        <v>0</v>
      </c>
      <c r="F64" s="1409">
        <f t="shared" si="16"/>
        <v>0</v>
      </c>
      <c r="G64" s="1427">
        <f t="shared" si="16"/>
        <v>6508</v>
      </c>
    </row>
    <row r="65" spans="1:8" ht="18.75" x14ac:dyDescent="0.3">
      <c r="A65" s="117" t="s">
        <v>316</v>
      </c>
      <c r="B65" s="309" t="s">
        <v>317</v>
      </c>
      <c r="C65" s="1396">
        <f>C63+C64</f>
        <v>557538</v>
      </c>
      <c r="D65" s="1396">
        <f>D63+D64</f>
        <v>484642.74173999997</v>
      </c>
      <c r="E65" s="1396">
        <f t="shared" ref="E65:G65" si="17">E63+E64</f>
        <v>8222</v>
      </c>
      <c r="F65" s="1396">
        <f t="shared" si="17"/>
        <v>64375</v>
      </c>
      <c r="G65" s="1397">
        <f t="shared" si="17"/>
        <v>557239.74173999997</v>
      </c>
    </row>
    <row r="66" spans="1:8" ht="18.75" x14ac:dyDescent="0.2">
      <c r="A66" s="120" t="s">
        <v>318</v>
      </c>
      <c r="B66" s="307" t="s">
        <v>260</v>
      </c>
      <c r="C66" s="1415">
        <v>0</v>
      </c>
      <c r="D66" s="1410">
        <f>'2.Kiadások_részletes '!E30</f>
        <v>0</v>
      </c>
      <c r="E66" s="1411"/>
      <c r="F66" s="1411"/>
      <c r="G66" s="1428">
        <f>D66+E66+F66</f>
        <v>0</v>
      </c>
    </row>
    <row r="67" spans="1:8" ht="18.75" x14ac:dyDescent="0.2">
      <c r="A67" s="120" t="s">
        <v>332</v>
      </c>
      <c r="B67" s="307" t="s">
        <v>333</v>
      </c>
      <c r="C67" s="1415">
        <v>0</v>
      </c>
      <c r="D67" s="1412">
        <f>'2.Kiadások_részletes '!E33</f>
        <v>0</v>
      </c>
      <c r="E67" s="1413"/>
      <c r="F67" s="1413"/>
      <c r="G67" s="1429">
        <f>D67+E67+F67</f>
        <v>0</v>
      </c>
    </row>
    <row r="68" spans="1:8" ht="18.75" x14ac:dyDescent="0.3">
      <c r="A68" s="146" t="s">
        <v>328</v>
      </c>
      <c r="B68" s="1401" t="s">
        <v>41</v>
      </c>
      <c r="C68" s="1396">
        <f>SUM(C66:C67)</f>
        <v>0</v>
      </c>
      <c r="D68" s="1396">
        <f>SUM(D66:D67)</f>
        <v>0</v>
      </c>
      <c r="E68" s="1396">
        <f t="shared" ref="E68:G68" si="18">SUM(E66:E67)</f>
        <v>0</v>
      </c>
      <c r="F68" s="1396">
        <f t="shared" si="18"/>
        <v>0</v>
      </c>
      <c r="G68" s="1397">
        <f t="shared" si="18"/>
        <v>0</v>
      </c>
    </row>
    <row r="69" spans="1:8" ht="19.5" thickBot="1" x14ac:dyDescent="0.35">
      <c r="A69" s="158"/>
      <c r="B69" s="1402" t="s">
        <v>352</v>
      </c>
      <c r="C69" s="1403">
        <f>SUM(C65,C68)</f>
        <v>557538</v>
      </c>
      <c r="D69" s="1403">
        <f>SUM(D65,D68)</f>
        <v>484642.74173999997</v>
      </c>
      <c r="E69" s="1403">
        <f t="shared" ref="E69:G69" si="19">SUM(E65,E68)</f>
        <v>8222</v>
      </c>
      <c r="F69" s="1403">
        <f t="shared" si="19"/>
        <v>64375</v>
      </c>
      <c r="G69" s="1404">
        <f t="shared" si="19"/>
        <v>557239.74173999997</v>
      </c>
      <c r="H69" s="575"/>
    </row>
    <row r="71" spans="1:8" ht="15" customHeight="1" x14ac:dyDescent="0.2">
      <c r="D71" s="575"/>
      <c r="E71" s="575"/>
      <c r="F71" s="575"/>
      <c r="G71" s="575"/>
    </row>
    <row r="72" spans="1:8" ht="15" customHeight="1" x14ac:dyDescent="0.2">
      <c r="G72" s="575"/>
    </row>
    <row r="73" spans="1:8" ht="15" customHeight="1" x14ac:dyDescent="0.2">
      <c r="F73" s="575"/>
    </row>
  </sheetData>
  <mergeCells count="11">
    <mergeCell ref="A45:A46"/>
    <mergeCell ref="B45:B46"/>
    <mergeCell ref="C45:C46"/>
    <mergeCell ref="D45:G45"/>
    <mergeCell ref="A1:G1"/>
    <mergeCell ref="A2:G2"/>
    <mergeCell ref="A4:G4"/>
    <mergeCell ref="A8:A9"/>
    <mergeCell ref="B8:B9"/>
    <mergeCell ref="C8:C9"/>
    <mergeCell ref="D8:G8"/>
  </mergeCells>
  <printOptions horizontalCentered="1"/>
  <pageMargins left="0.23622047244094491" right="0.23622047244094491" top="0.2" bottom="0.3" header="0.31496062992125984" footer="0.21"/>
  <pageSetup paperSize="9" scale="5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SheetLayoutView="100" workbookViewId="0">
      <selection sqref="A1:F1"/>
    </sheetView>
  </sheetViews>
  <sheetFormatPr defaultRowHeight="15" customHeight="1" x14ac:dyDescent="0.2"/>
  <cols>
    <col min="1" max="1" width="13.5703125" style="97" customWidth="1"/>
    <col min="2" max="2" width="72.42578125" style="97" customWidth="1"/>
    <col min="3" max="3" width="16.140625" style="97" customWidth="1"/>
    <col min="4" max="4" width="12.5703125" style="97" customWidth="1"/>
    <col min="5" max="5" width="13" style="97" customWidth="1"/>
    <col min="6" max="6" width="14.85546875" style="97" customWidth="1"/>
    <col min="7" max="16384" width="9.140625" style="97"/>
  </cols>
  <sheetData>
    <row r="1" spans="1:6" ht="18.75" x14ac:dyDescent="0.3">
      <c r="A1" s="1837" t="str">
        <f>'5. Köt+önk_PH'!A1:G1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</row>
    <row r="2" spans="1:6" ht="18.75" x14ac:dyDescent="0.3">
      <c r="A2" s="1837" t="str">
        <f>'5. Köt+önk_PH'!A2:G2</f>
        <v>az Önkormányzat  2018. évi költségvetéséről</v>
      </c>
      <c r="B2" s="1837"/>
      <c r="C2" s="1837"/>
      <c r="D2" s="1837"/>
      <c r="E2" s="1837"/>
      <c r="F2" s="1837"/>
    </row>
    <row r="3" spans="1:6" ht="8.25" customHeight="1" x14ac:dyDescent="0.2"/>
    <row r="4" spans="1:6" ht="33.75" customHeight="1" x14ac:dyDescent="0.2">
      <c r="A4" s="1840" t="str">
        <f>Tartalomjegyzék_2018!B13</f>
        <v>Pilisvörösvári Szakorvosi Rendelőintézet költségvetése kötelező és önként vállalt feladat szerinti bontásban</v>
      </c>
      <c r="B4" s="1840"/>
      <c r="C4" s="1840"/>
      <c r="D4" s="1840"/>
      <c r="E4" s="1840"/>
      <c r="F4" s="1840"/>
    </row>
    <row r="5" spans="1:6" ht="18.75" x14ac:dyDescent="0.2">
      <c r="F5" s="317" t="s">
        <v>15</v>
      </c>
    </row>
    <row r="6" spans="1:6" ht="15" customHeight="1" thickBot="1" x14ac:dyDescent="0.35">
      <c r="F6" s="318" t="s">
        <v>329</v>
      </c>
    </row>
    <row r="7" spans="1:6" ht="36.75" customHeight="1" x14ac:dyDescent="0.2">
      <c r="A7" s="1830" t="s">
        <v>370</v>
      </c>
      <c r="B7" s="1832" t="s">
        <v>787</v>
      </c>
      <c r="C7" s="1832" t="s">
        <v>1056</v>
      </c>
      <c r="D7" s="1834" t="s">
        <v>1057</v>
      </c>
      <c r="E7" s="1835"/>
      <c r="F7" s="1836"/>
    </row>
    <row r="8" spans="1:6" ht="49.5" x14ac:dyDescent="0.2">
      <c r="A8" s="1831"/>
      <c r="B8" s="1833"/>
      <c r="C8" s="1833"/>
      <c r="D8" s="1386" t="s">
        <v>159</v>
      </c>
      <c r="E8" s="1386" t="s">
        <v>160</v>
      </c>
      <c r="F8" s="1414" t="s">
        <v>371</v>
      </c>
    </row>
    <row r="9" spans="1:6" s="54" customFormat="1" ht="15" customHeight="1" x14ac:dyDescent="0.25">
      <c r="A9" s="114" t="s">
        <v>381</v>
      </c>
      <c r="B9" s="115" t="s">
        <v>380</v>
      </c>
      <c r="C9" s="126">
        <v>0</v>
      </c>
      <c r="D9" s="126">
        <f>'2.Bevételek_részletes'!H8</f>
        <v>0</v>
      </c>
      <c r="E9" s="126"/>
      <c r="F9" s="127">
        <f>SUM(D9:E9)</f>
        <v>0</v>
      </c>
    </row>
    <row r="10" spans="1:6" s="54" customFormat="1" ht="15" customHeight="1" x14ac:dyDescent="0.25">
      <c r="A10" s="114" t="s">
        <v>383</v>
      </c>
      <c r="B10" s="115" t="s">
        <v>382</v>
      </c>
      <c r="C10" s="126">
        <v>262500</v>
      </c>
      <c r="D10" s="126">
        <f>'2.Bevételek_részletes'!H9</f>
        <v>295500</v>
      </c>
      <c r="E10" s="126"/>
      <c r="F10" s="127">
        <f t="shared" ref="F10:F40" si="0">SUM(D10:E10)</f>
        <v>295500</v>
      </c>
    </row>
    <row r="11" spans="1:6" s="54" customFormat="1" ht="15" customHeight="1" x14ac:dyDescent="0.25">
      <c r="A11" s="122" t="s">
        <v>385</v>
      </c>
      <c r="B11" s="105" t="s">
        <v>384</v>
      </c>
      <c r="C11" s="126">
        <f>'2.Bevételek_részletes'!G10</f>
        <v>262500</v>
      </c>
      <c r="D11" s="126">
        <f>'2.Bevételek_részletes'!H10</f>
        <v>295500</v>
      </c>
      <c r="E11" s="154"/>
      <c r="F11" s="155">
        <f t="shared" si="0"/>
        <v>295500</v>
      </c>
    </row>
    <row r="12" spans="1:6" ht="15" customHeight="1" x14ac:dyDescent="0.25">
      <c r="A12" s="122" t="s">
        <v>389</v>
      </c>
      <c r="B12" s="105" t="s">
        <v>388</v>
      </c>
      <c r="C12" s="126">
        <v>0</v>
      </c>
      <c r="D12" s="126">
        <f>'2.Bevételek_részletes'!H12</f>
        <v>0</v>
      </c>
      <c r="E12" s="154"/>
      <c r="F12" s="155">
        <f t="shared" si="0"/>
        <v>0</v>
      </c>
    </row>
    <row r="13" spans="1:6" ht="15" customHeight="1" x14ac:dyDescent="0.25">
      <c r="A13" s="573" t="s">
        <v>153</v>
      </c>
      <c r="B13" s="574" t="s">
        <v>165</v>
      </c>
      <c r="C13" s="126">
        <v>0</v>
      </c>
      <c r="D13" s="126">
        <f>'2.Bevételek_részletes'!H13</f>
        <v>0</v>
      </c>
      <c r="E13" s="154"/>
      <c r="F13" s="155">
        <f t="shared" si="0"/>
        <v>0</v>
      </c>
    </row>
    <row r="14" spans="1:6" s="54" customFormat="1" ht="15" customHeight="1" x14ac:dyDescent="0.25">
      <c r="A14" s="114" t="s">
        <v>111</v>
      </c>
      <c r="B14" s="115" t="s">
        <v>164</v>
      </c>
      <c r="C14" s="126">
        <v>0</v>
      </c>
      <c r="D14" s="126">
        <f>'2.Bevételek_részletes'!H14</f>
        <v>0</v>
      </c>
      <c r="E14" s="126"/>
      <c r="F14" s="127">
        <f t="shared" si="0"/>
        <v>0</v>
      </c>
    </row>
    <row r="15" spans="1:6" s="54" customFormat="1" ht="15" customHeight="1" x14ac:dyDescent="0.25">
      <c r="A15" s="114" t="s">
        <v>392</v>
      </c>
      <c r="B15" s="115" t="s">
        <v>161</v>
      </c>
      <c r="C15" s="126">
        <v>0</v>
      </c>
      <c r="D15" s="126">
        <f>'2.Bevételek_részletes'!H15</f>
        <v>0</v>
      </c>
      <c r="E15" s="126"/>
      <c r="F15" s="127">
        <f t="shared" si="0"/>
        <v>0</v>
      </c>
    </row>
    <row r="16" spans="1:6" s="54" customFormat="1" ht="15" customHeight="1" x14ac:dyDescent="0.25">
      <c r="A16" s="122" t="s">
        <v>394</v>
      </c>
      <c r="B16" s="105" t="s">
        <v>393</v>
      </c>
      <c r="C16" s="126">
        <v>0</v>
      </c>
      <c r="D16" s="126">
        <f>'2.Bevételek_részletes'!H16</f>
        <v>0</v>
      </c>
      <c r="E16" s="154"/>
      <c r="F16" s="155">
        <f t="shared" si="0"/>
        <v>0</v>
      </c>
    </row>
    <row r="17" spans="1:6" s="54" customFormat="1" ht="15" customHeight="1" x14ac:dyDescent="0.25">
      <c r="A17" s="114" t="s">
        <v>123</v>
      </c>
      <c r="B17" s="107" t="s">
        <v>395</v>
      </c>
      <c r="C17" s="154">
        <v>0</v>
      </c>
      <c r="D17" s="154">
        <f>'2.Bevételek_részletes'!H17</f>
        <v>0</v>
      </c>
      <c r="E17" s="154"/>
      <c r="F17" s="155">
        <f t="shared" si="0"/>
        <v>0</v>
      </c>
    </row>
    <row r="18" spans="1:6" s="54" customFormat="1" ht="15" customHeight="1" x14ac:dyDescent="0.25">
      <c r="A18" s="114" t="s">
        <v>122</v>
      </c>
      <c r="B18" s="115" t="s">
        <v>125</v>
      </c>
      <c r="C18" s="154">
        <v>3720</v>
      </c>
      <c r="D18" s="154">
        <f>'2.Bevételek_részletes'!H18</f>
        <v>2330</v>
      </c>
      <c r="E18" s="154"/>
      <c r="F18" s="155">
        <f t="shared" si="0"/>
        <v>2330</v>
      </c>
    </row>
    <row r="19" spans="1:6" s="54" customFormat="1" ht="15" customHeight="1" x14ac:dyDescent="0.25">
      <c r="A19" s="114" t="s">
        <v>121</v>
      </c>
      <c r="B19" s="115" t="s">
        <v>116</v>
      </c>
      <c r="C19" s="154">
        <v>1700</v>
      </c>
      <c r="D19" s="154">
        <f>'2.Bevételek_részletes'!H19</f>
        <v>3000</v>
      </c>
      <c r="E19" s="154"/>
      <c r="F19" s="155">
        <f t="shared" si="0"/>
        <v>3000</v>
      </c>
    </row>
    <row r="20" spans="1:6" s="54" customFormat="1" ht="15" customHeight="1" x14ac:dyDescent="0.25">
      <c r="A20" s="114" t="s">
        <v>402</v>
      </c>
      <c r="B20" s="115" t="s">
        <v>401</v>
      </c>
      <c r="C20" s="154">
        <v>0</v>
      </c>
      <c r="D20" s="154">
        <f>'2.Bevételek_részletes'!H20</f>
        <v>0</v>
      </c>
      <c r="E20" s="154"/>
      <c r="F20" s="155">
        <f t="shared" si="0"/>
        <v>0</v>
      </c>
    </row>
    <row r="21" spans="1:6" s="54" customFormat="1" ht="15" customHeight="1" x14ac:dyDescent="0.25">
      <c r="A21" s="114" t="s">
        <v>404</v>
      </c>
      <c r="B21" s="115" t="s">
        <v>403</v>
      </c>
      <c r="C21" s="154">
        <v>3120</v>
      </c>
      <c r="D21" s="154">
        <f>'2.Bevételek_részletes'!H21</f>
        <v>4000</v>
      </c>
      <c r="E21" s="154"/>
      <c r="F21" s="155">
        <f t="shared" si="0"/>
        <v>4000</v>
      </c>
    </row>
    <row r="22" spans="1:6" s="54" customFormat="1" ht="15" customHeight="1" x14ac:dyDescent="0.25">
      <c r="A22" s="114" t="s">
        <v>408</v>
      </c>
      <c r="B22" s="115" t="s">
        <v>407</v>
      </c>
      <c r="C22" s="154">
        <v>10</v>
      </c>
      <c r="D22" s="154">
        <f>'2.Bevételek_részletes'!H23</f>
        <v>0</v>
      </c>
      <c r="E22" s="154"/>
      <c r="F22" s="155">
        <f t="shared" si="0"/>
        <v>0</v>
      </c>
    </row>
    <row r="23" spans="1:6" s="54" customFormat="1" ht="15" customHeight="1" x14ac:dyDescent="0.25">
      <c r="A23" s="122" t="s">
        <v>410</v>
      </c>
      <c r="B23" s="106" t="s">
        <v>409</v>
      </c>
      <c r="C23" s="154">
        <v>8550</v>
      </c>
      <c r="D23" s="154">
        <f>SUM(D17:D22)</f>
        <v>9330</v>
      </c>
      <c r="E23" s="154">
        <f>SUM(E17:E22)</f>
        <v>0</v>
      </c>
      <c r="F23" s="155">
        <f t="shared" si="0"/>
        <v>9330</v>
      </c>
    </row>
    <row r="24" spans="1:6" s="54" customFormat="1" ht="16.5" x14ac:dyDescent="0.25">
      <c r="A24" s="122" t="s">
        <v>416</v>
      </c>
      <c r="B24" s="105" t="s">
        <v>415</v>
      </c>
      <c r="C24" s="154">
        <v>0</v>
      </c>
      <c r="D24" s="154">
        <f>'2.Bevételek_részletes'!H28</f>
        <v>0</v>
      </c>
      <c r="E24" s="154"/>
      <c r="F24" s="155">
        <f t="shared" si="0"/>
        <v>0</v>
      </c>
    </row>
    <row r="25" spans="1:6" s="54" customFormat="1" ht="15" customHeight="1" x14ac:dyDescent="0.25">
      <c r="A25" s="122" t="s">
        <v>420</v>
      </c>
      <c r="B25" s="105" t="s">
        <v>419</v>
      </c>
      <c r="C25" s="154">
        <v>0</v>
      </c>
      <c r="D25" s="154">
        <f>'2.Bevételek_részletes'!H30</f>
        <v>0</v>
      </c>
      <c r="E25" s="154"/>
      <c r="F25" s="155">
        <f t="shared" si="0"/>
        <v>0</v>
      </c>
    </row>
    <row r="26" spans="1:6" s="54" customFormat="1" ht="15" customHeight="1" x14ac:dyDescent="0.25">
      <c r="A26" s="114" t="s">
        <v>422</v>
      </c>
      <c r="B26" s="115" t="s">
        <v>421</v>
      </c>
      <c r="C26" s="154">
        <v>0</v>
      </c>
      <c r="D26" s="154">
        <f>'2.Bevételek_részletes'!H31</f>
        <v>0</v>
      </c>
      <c r="E26" s="154"/>
      <c r="F26" s="155">
        <f t="shared" si="0"/>
        <v>0</v>
      </c>
    </row>
    <row r="27" spans="1:6" s="54" customFormat="1" ht="15" customHeight="1" x14ac:dyDescent="0.25">
      <c r="A27" s="114" t="s">
        <v>424</v>
      </c>
      <c r="B27" s="107" t="s">
        <v>423</v>
      </c>
      <c r="C27" s="154">
        <v>0</v>
      </c>
      <c r="D27" s="154">
        <f>'2.Bevételek_részletes'!H32</f>
        <v>0</v>
      </c>
      <c r="E27" s="154"/>
      <c r="F27" s="155">
        <f t="shared" si="0"/>
        <v>0</v>
      </c>
    </row>
    <row r="28" spans="1:6" s="54" customFormat="1" ht="15" customHeight="1" x14ac:dyDescent="0.25">
      <c r="A28" s="122" t="s">
        <v>426</v>
      </c>
      <c r="B28" s="105" t="s">
        <v>425</v>
      </c>
      <c r="C28" s="154">
        <v>0</v>
      </c>
      <c r="D28" s="154">
        <f>SUM(D25:D26)</f>
        <v>0</v>
      </c>
      <c r="E28" s="154"/>
      <c r="F28" s="155">
        <f t="shared" si="0"/>
        <v>0</v>
      </c>
    </row>
    <row r="29" spans="1:6" s="54" customFormat="1" ht="15" customHeight="1" x14ac:dyDescent="0.25">
      <c r="A29" s="128"/>
      <c r="B29" s="129" t="s">
        <v>98</v>
      </c>
      <c r="C29" s="130">
        <f>SUM(C10,C15,C23,C25)</f>
        <v>271050</v>
      </c>
      <c r="D29" s="130">
        <f>SUM(D10,D15,D23,D25)</f>
        <v>304830</v>
      </c>
      <c r="E29" s="130">
        <f>SUM(E10,E15,E23,E25)</f>
        <v>0</v>
      </c>
      <c r="F29" s="131">
        <f t="shared" si="0"/>
        <v>304830</v>
      </c>
    </row>
    <row r="30" spans="1:6" ht="15" customHeight="1" x14ac:dyDescent="0.25">
      <c r="A30" s="128"/>
      <c r="B30" s="129" t="s">
        <v>99</v>
      </c>
      <c r="C30" s="130">
        <f>SUM(C12,C24,C28)</f>
        <v>0</v>
      </c>
      <c r="D30" s="130">
        <f>SUM(D12,D24,D28)</f>
        <v>0</v>
      </c>
      <c r="E30" s="130">
        <f>SUM(E11,E24,E28)</f>
        <v>0</v>
      </c>
      <c r="F30" s="131">
        <f t="shared" si="0"/>
        <v>0</v>
      </c>
    </row>
    <row r="31" spans="1:6" ht="15" customHeight="1" x14ac:dyDescent="0.25">
      <c r="A31" s="117" t="s">
        <v>428</v>
      </c>
      <c r="B31" s="112" t="s">
        <v>427</v>
      </c>
      <c r="C31" s="123">
        <f>C29+C30</f>
        <v>271050</v>
      </c>
      <c r="D31" s="123">
        <f>D29+D30</f>
        <v>304830</v>
      </c>
      <c r="E31" s="123">
        <f>SUM(E29:E30)</f>
        <v>0</v>
      </c>
      <c r="F31" s="124">
        <f t="shared" si="0"/>
        <v>304830</v>
      </c>
    </row>
    <row r="32" spans="1:6" ht="15" customHeight="1" x14ac:dyDescent="0.25">
      <c r="A32" s="132"/>
      <c r="B32" s="133" t="s">
        <v>429</v>
      </c>
      <c r="C32" s="134">
        <f>C29-C59</f>
        <v>635</v>
      </c>
      <c r="D32" s="134">
        <f>D29-D59</f>
        <v>1794</v>
      </c>
      <c r="E32" s="134">
        <f>E29-E63</f>
        <v>0</v>
      </c>
      <c r="F32" s="135">
        <f t="shared" si="0"/>
        <v>1794</v>
      </c>
    </row>
    <row r="33" spans="1:7" ht="15" customHeight="1" x14ac:dyDescent="0.25">
      <c r="A33" s="132"/>
      <c r="B33" s="133" t="s">
        <v>430</v>
      </c>
      <c r="C33" s="134">
        <f>C30-C60</f>
        <v>-635</v>
      </c>
      <c r="D33" s="134">
        <f>D30-D60</f>
        <v>-1794</v>
      </c>
      <c r="E33" s="134">
        <f>E30-E64</f>
        <v>0</v>
      </c>
      <c r="F33" s="135">
        <f t="shared" si="0"/>
        <v>-1794</v>
      </c>
    </row>
    <row r="34" spans="1:7" ht="15" customHeight="1" x14ac:dyDescent="0.25">
      <c r="A34" s="120" t="s">
        <v>434</v>
      </c>
      <c r="B34" s="107" t="s">
        <v>433</v>
      </c>
      <c r="C34" s="126">
        <v>0</v>
      </c>
      <c r="D34" s="126">
        <f>'2.Bevételek_részletes'!H37</f>
        <v>0</v>
      </c>
      <c r="E34" s="126"/>
      <c r="F34" s="127">
        <f t="shared" si="0"/>
        <v>0</v>
      </c>
    </row>
    <row r="35" spans="1:7" ht="15" customHeight="1" x14ac:dyDescent="0.25">
      <c r="A35" s="120" t="s">
        <v>436</v>
      </c>
      <c r="B35" s="115" t="s">
        <v>435</v>
      </c>
      <c r="C35" s="126">
        <v>0</v>
      </c>
      <c r="D35" s="126">
        <f>'2.Bevételek_részletes'!H41</f>
        <v>0</v>
      </c>
      <c r="E35" s="126"/>
      <c r="F35" s="127">
        <f t="shared" si="0"/>
        <v>0</v>
      </c>
    </row>
    <row r="36" spans="1:7" ht="33.75" customHeight="1" x14ac:dyDescent="0.25">
      <c r="A36" s="120" t="s">
        <v>436</v>
      </c>
      <c r="B36" s="115" t="s">
        <v>437</v>
      </c>
      <c r="C36" s="126">
        <v>0</v>
      </c>
      <c r="D36" s="126">
        <f>'2.Bevételek_részletes'!H42</f>
        <v>0</v>
      </c>
      <c r="E36" s="126"/>
      <c r="F36" s="127">
        <f t="shared" si="0"/>
        <v>0</v>
      </c>
    </row>
    <row r="37" spans="1:7" s="54" customFormat="1" ht="15" customHeight="1" x14ac:dyDescent="0.25">
      <c r="A37" s="120" t="s">
        <v>439</v>
      </c>
      <c r="B37" s="115" t="s">
        <v>438</v>
      </c>
      <c r="C37" s="126">
        <v>0</v>
      </c>
      <c r="D37" s="126">
        <f>SUM(D35:D36)</f>
        <v>0</v>
      </c>
      <c r="E37" s="126"/>
      <c r="F37" s="127">
        <f t="shared" si="0"/>
        <v>0</v>
      </c>
    </row>
    <row r="38" spans="1:7" ht="16.5" x14ac:dyDescent="0.25">
      <c r="A38" s="120" t="s">
        <v>441</v>
      </c>
      <c r="B38" s="115" t="s">
        <v>440</v>
      </c>
      <c r="C38" s="126">
        <v>0</v>
      </c>
      <c r="D38" s="126">
        <f>'2.Bevételek_részletes'!H44</f>
        <v>0</v>
      </c>
      <c r="E38" s="126"/>
      <c r="F38" s="127">
        <f t="shared" si="0"/>
        <v>0</v>
      </c>
    </row>
    <row r="39" spans="1:7" ht="16.5" x14ac:dyDescent="0.25">
      <c r="A39" s="146" t="s">
        <v>449</v>
      </c>
      <c r="B39" s="145" t="s">
        <v>448</v>
      </c>
      <c r="C39" s="123">
        <f>SUM(C37:C38)</f>
        <v>0</v>
      </c>
      <c r="D39" s="123">
        <f>SUM(D37:D38)</f>
        <v>0</v>
      </c>
      <c r="E39" s="123">
        <f>E34+E37+E38</f>
        <v>0</v>
      </c>
      <c r="F39" s="124">
        <f t="shared" si="0"/>
        <v>0</v>
      </c>
    </row>
    <row r="40" spans="1:7" ht="17.25" thickBot="1" x14ac:dyDescent="0.3">
      <c r="A40" s="158"/>
      <c r="B40" s="159" t="s">
        <v>362</v>
      </c>
      <c r="C40" s="164">
        <f>C31+C39</f>
        <v>271050</v>
      </c>
      <c r="D40" s="164">
        <f>D31+D39</f>
        <v>304830</v>
      </c>
      <c r="E40" s="164">
        <f>E31+E39</f>
        <v>0</v>
      </c>
      <c r="F40" s="165">
        <f t="shared" si="0"/>
        <v>304830</v>
      </c>
      <c r="G40" s="575"/>
    </row>
    <row r="41" spans="1:7" ht="15" customHeight="1" thickBot="1" x14ac:dyDescent="0.3">
      <c r="A41" s="979"/>
      <c r="B41" s="979"/>
      <c r="C41" s="979"/>
      <c r="D41" s="979"/>
      <c r="E41" s="979"/>
      <c r="F41" s="979"/>
    </row>
    <row r="42" spans="1:7" ht="18.75" x14ac:dyDescent="0.2">
      <c r="A42" s="1830" t="s">
        <v>370</v>
      </c>
      <c r="B42" s="1832" t="s">
        <v>788</v>
      </c>
      <c r="C42" s="1832" t="s">
        <v>1056</v>
      </c>
      <c r="D42" s="1834" t="s">
        <v>1057</v>
      </c>
      <c r="E42" s="1835"/>
      <c r="F42" s="1836"/>
    </row>
    <row r="43" spans="1:7" ht="49.5" x14ac:dyDescent="0.2">
      <c r="A43" s="1831"/>
      <c r="B43" s="1833"/>
      <c r="C43" s="1833"/>
      <c r="D43" s="1386" t="s">
        <v>159</v>
      </c>
      <c r="E43" s="1386" t="s">
        <v>160</v>
      </c>
      <c r="F43" s="1414" t="s">
        <v>371</v>
      </c>
    </row>
    <row r="44" spans="1:7" ht="15" customHeight="1" x14ac:dyDescent="0.25">
      <c r="A44" s="103" t="s">
        <v>294</v>
      </c>
      <c r="B44" s="104" t="s">
        <v>295</v>
      </c>
      <c r="C44" s="126">
        <v>120125</v>
      </c>
      <c r="D44" s="126">
        <f>'2.Kiadások_részletes '!H11</f>
        <v>128907</v>
      </c>
      <c r="E44" s="126"/>
      <c r="F44" s="127">
        <f>SUM(D44:E44)</f>
        <v>128907</v>
      </c>
    </row>
    <row r="45" spans="1:7" ht="15" customHeight="1" x14ac:dyDescent="0.25">
      <c r="A45" s="103" t="s">
        <v>296</v>
      </c>
      <c r="B45" s="115" t="s">
        <v>297</v>
      </c>
      <c r="C45" s="126">
        <v>26245</v>
      </c>
      <c r="D45" s="126">
        <f>'2.Kiadások_részletes '!H12</f>
        <v>26205</v>
      </c>
      <c r="E45" s="126"/>
      <c r="F45" s="127">
        <f t="shared" ref="F45:F65" si="1">SUM(D45:E45)</f>
        <v>26205</v>
      </c>
    </row>
    <row r="46" spans="1:7" ht="15" customHeight="1" x14ac:dyDescent="0.25">
      <c r="A46" s="103" t="s">
        <v>298</v>
      </c>
      <c r="B46" s="115" t="s">
        <v>299</v>
      </c>
      <c r="C46" s="126">
        <v>124045</v>
      </c>
      <c r="D46" s="126">
        <f>'2.Kiadások_részletes '!H13</f>
        <v>147924</v>
      </c>
      <c r="E46" s="126"/>
      <c r="F46" s="127">
        <f t="shared" si="1"/>
        <v>147924</v>
      </c>
    </row>
    <row r="47" spans="1:7" ht="15" customHeight="1" x14ac:dyDescent="0.25">
      <c r="A47" s="103" t="s">
        <v>300</v>
      </c>
      <c r="B47" s="107" t="s">
        <v>38</v>
      </c>
      <c r="C47" s="126"/>
      <c r="D47" s="126">
        <f>'2.Kiadások_részletes '!H14</f>
        <v>0</v>
      </c>
      <c r="E47" s="126"/>
      <c r="F47" s="127">
        <f t="shared" si="1"/>
        <v>0</v>
      </c>
    </row>
    <row r="48" spans="1:7" ht="15" customHeight="1" x14ac:dyDescent="0.25">
      <c r="A48" s="103" t="s">
        <v>301</v>
      </c>
      <c r="B48" s="108" t="s">
        <v>302</v>
      </c>
      <c r="C48" s="126"/>
      <c r="D48" s="126">
        <f>'2.Kiadások_részletes '!H16</f>
        <v>0</v>
      </c>
      <c r="E48" s="126"/>
      <c r="F48" s="127">
        <f t="shared" si="1"/>
        <v>0</v>
      </c>
    </row>
    <row r="49" spans="1:6" ht="15" customHeight="1" x14ac:dyDescent="0.25">
      <c r="A49" s="103" t="s">
        <v>304</v>
      </c>
      <c r="B49" s="108" t="s">
        <v>303</v>
      </c>
      <c r="C49" s="126"/>
      <c r="D49" s="126">
        <f>'2.Kiadások_részletes '!H17</f>
        <v>0</v>
      </c>
      <c r="E49" s="126"/>
      <c r="F49" s="127">
        <f t="shared" si="1"/>
        <v>0</v>
      </c>
    </row>
    <row r="50" spans="1:6" ht="15" customHeight="1" x14ac:dyDescent="0.25">
      <c r="A50" s="103" t="s">
        <v>776</v>
      </c>
      <c r="B50" s="109" t="s">
        <v>305</v>
      </c>
      <c r="C50" s="126"/>
      <c r="D50" s="126"/>
      <c r="E50" s="126"/>
      <c r="F50" s="127">
        <f t="shared" si="1"/>
        <v>0</v>
      </c>
    </row>
    <row r="51" spans="1:6" ht="15" customHeight="1" x14ac:dyDescent="0.25">
      <c r="A51" s="103" t="s">
        <v>776</v>
      </c>
      <c r="B51" s="109" t="s">
        <v>163</v>
      </c>
      <c r="C51" s="126"/>
      <c r="D51" s="126"/>
      <c r="E51" s="126"/>
      <c r="F51" s="127">
        <f t="shared" si="1"/>
        <v>0</v>
      </c>
    </row>
    <row r="52" spans="1:6" ht="15" customHeight="1" x14ac:dyDescent="0.25">
      <c r="A52" s="103" t="s">
        <v>776</v>
      </c>
      <c r="B52" s="109" t="s">
        <v>306</v>
      </c>
      <c r="C52" s="126"/>
      <c r="D52" s="126"/>
      <c r="E52" s="126"/>
      <c r="F52" s="127">
        <f t="shared" si="1"/>
        <v>0</v>
      </c>
    </row>
    <row r="53" spans="1:6" ht="15" customHeight="1" x14ac:dyDescent="0.25">
      <c r="A53" s="103" t="s">
        <v>307</v>
      </c>
      <c r="B53" s="107" t="s">
        <v>308</v>
      </c>
      <c r="C53" s="126"/>
      <c r="D53" s="126">
        <f>'2.Kiadások_részletes '!H19</f>
        <v>0</v>
      </c>
      <c r="E53" s="126"/>
      <c r="F53" s="127">
        <f t="shared" si="1"/>
        <v>0</v>
      </c>
    </row>
    <row r="54" spans="1:6" ht="15" customHeight="1" x14ac:dyDescent="0.25">
      <c r="A54" s="103" t="s">
        <v>309</v>
      </c>
      <c r="B54" s="138" t="s">
        <v>452</v>
      </c>
      <c r="C54" s="126">
        <v>635</v>
      </c>
      <c r="D54" s="126">
        <f>'2.Kiadások_részletes '!H21</f>
        <v>1794</v>
      </c>
      <c r="E54" s="126"/>
      <c r="F54" s="127">
        <f t="shared" si="1"/>
        <v>1794</v>
      </c>
    </row>
    <row r="55" spans="1:6" ht="15" customHeight="1" x14ac:dyDescent="0.25">
      <c r="A55" s="103" t="s">
        <v>310</v>
      </c>
      <c r="B55" s="107" t="s">
        <v>311</v>
      </c>
      <c r="C55" s="126"/>
      <c r="D55" s="126">
        <f>'2.Kiadások_részletes '!H22</f>
        <v>0</v>
      </c>
      <c r="E55" s="126"/>
      <c r="F55" s="127">
        <f t="shared" si="1"/>
        <v>0</v>
      </c>
    </row>
    <row r="56" spans="1:6" ht="15" customHeight="1" x14ac:dyDescent="0.25">
      <c r="A56" s="103" t="s">
        <v>259</v>
      </c>
      <c r="B56" s="107" t="s">
        <v>162</v>
      </c>
      <c r="C56" s="126"/>
      <c r="D56" s="126">
        <f>'2.Kiadások_részletes '!H23</f>
        <v>0</v>
      </c>
      <c r="E56" s="126"/>
      <c r="F56" s="127">
        <f t="shared" si="1"/>
        <v>0</v>
      </c>
    </row>
    <row r="57" spans="1:6" ht="15" customHeight="1" x14ac:dyDescent="0.25">
      <c r="A57" s="103" t="s">
        <v>312</v>
      </c>
      <c r="B57" s="107" t="s">
        <v>313</v>
      </c>
      <c r="C57" s="126"/>
      <c r="D57" s="126">
        <f>'2.Kiadások_részletes '!H24</f>
        <v>0</v>
      </c>
      <c r="E57" s="126"/>
      <c r="F57" s="127">
        <f t="shared" si="1"/>
        <v>0</v>
      </c>
    </row>
    <row r="58" spans="1:6" ht="15" customHeight="1" x14ac:dyDescent="0.25">
      <c r="A58" s="103" t="s">
        <v>314</v>
      </c>
      <c r="B58" s="107" t="s">
        <v>315</v>
      </c>
      <c r="C58" s="126"/>
      <c r="D58" s="126">
        <f>SUM(D56:D57)</f>
        <v>0</v>
      </c>
      <c r="E58" s="126"/>
      <c r="F58" s="127">
        <f t="shared" si="1"/>
        <v>0</v>
      </c>
    </row>
    <row r="59" spans="1:6" ht="15" customHeight="1" x14ac:dyDescent="0.25">
      <c r="A59" s="147"/>
      <c r="B59" s="144" t="s">
        <v>330</v>
      </c>
      <c r="C59" s="156">
        <f>SUM(C44:C47,C53)</f>
        <v>270415</v>
      </c>
      <c r="D59" s="156">
        <f>SUM(D44:D47,D53)</f>
        <v>303036</v>
      </c>
      <c r="E59" s="156">
        <f>SUM(E44:E47,E53)</f>
        <v>0</v>
      </c>
      <c r="F59" s="157">
        <f t="shared" si="1"/>
        <v>303036</v>
      </c>
    </row>
    <row r="60" spans="1:6" ht="15" customHeight="1" x14ac:dyDescent="0.25">
      <c r="A60" s="147"/>
      <c r="B60" s="144" t="s">
        <v>331</v>
      </c>
      <c r="C60" s="156">
        <f>SUM(C54:C58,C58)</f>
        <v>635</v>
      </c>
      <c r="D60" s="156">
        <f>SUM(D54:D58,D58)</f>
        <v>1794</v>
      </c>
      <c r="E60" s="156">
        <v>0</v>
      </c>
      <c r="F60" s="157">
        <f t="shared" si="1"/>
        <v>1794</v>
      </c>
    </row>
    <row r="61" spans="1:6" ht="15" customHeight="1" x14ac:dyDescent="0.25">
      <c r="A61" s="117" t="s">
        <v>316</v>
      </c>
      <c r="B61" s="112" t="s">
        <v>317</v>
      </c>
      <c r="C61" s="123">
        <f>C59+C60</f>
        <v>271050</v>
      </c>
      <c r="D61" s="123">
        <f>D59+D60</f>
        <v>304830</v>
      </c>
      <c r="E61" s="123">
        <f>SUM(E59:E60)</f>
        <v>0</v>
      </c>
      <c r="F61" s="124">
        <f t="shared" si="1"/>
        <v>304830</v>
      </c>
    </row>
    <row r="62" spans="1:6" ht="15" customHeight="1" x14ac:dyDescent="0.2">
      <c r="A62" s="120" t="s">
        <v>318</v>
      </c>
      <c r="B62" s="107" t="s">
        <v>260</v>
      </c>
      <c r="C62" s="113"/>
      <c r="D62" s="113"/>
      <c r="E62" s="113"/>
      <c r="F62" s="140">
        <f t="shared" si="1"/>
        <v>0</v>
      </c>
    </row>
    <row r="63" spans="1:6" ht="15" customHeight="1" x14ac:dyDescent="0.2">
      <c r="A63" s="120" t="s">
        <v>332</v>
      </c>
      <c r="B63" s="107" t="s">
        <v>333</v>
      </c>
      <c r="C63" s="141"/>
      <c r="D63" s="141"/>
      <c r="E63" s="141"/>
      <c r="F63" s="142">
        <f t="shared" si="1"/>
        <v>0</v>
      </c>
    </row>
    <row r="64" spans="1:6" ht="15" customHeight="1" x14ac:dyDescent="0.25">
      <c r="A64" s="146" t="s">
        <v>328</v>
      </c>
      <c r="B64" s="145" t="s">
        <v>41</v>
      </c>
      <c r="C64" s="123">
        <f>SUM(C62:C63)</f>
        <v>0</v>
      </c>
      <c r="D64" s="123">
        <f>SUM(D62:D63)</f>
        <v>0</v>
      </c>
      <c r="E64" s="123">
        <f>SUM(E62:E63)</f>
        <v>0</v>
      </c>
      <c r="F64" s="124">
        <f t="shared" si="1"/>
        <v>0</v>
      </c>
    </row>
    <row r="65" spans="1:7" ht="17.25" thickBot="1" x14ac:dyDescent="0.3">
      <c r="A65" s="158"/>
      <c r="B65" s="159" t="s">
        <v>352</v>
      </c>
      <c r="C65" s="164">
        <f>SUM(C61,C64)</f>
        <v>271050</v>
      </c>
      <c r="D65" s="164">
        <f>SUM(D61,D64)</f>
        <v>304830</v>
      </c>
      <c r="E65" s="164">
        <f>SUM(E61,E64)</f>
        <v>0</v>
      </c>
      <c r="F65" s="165">
        <f t="shared" si="1"/>
        <v>304830</v>
      </c>
      <c r="G65" s="575"/>
    </row>
    <row r="67" spans="1:7" ht="15" customHeight="1" x14ac:dyDescent="0.2">
      <c r="F67" s="575"/>
    </row>
    <row r="68" spans="1:7" ht="15" customHeight="1" x14ac:dyDescent="0.2">
      <c r="F68" s="575"/>
    </row>
  </sheetData>
  <mergeCells count="11">
    <mergeCell ref="A42:A43"/>
    <mergeCell ref="B42:B43"/>
    <mergeCell ref="C42:C43"/>
    <mergeCell ref="D42:F42"/>
    <mergeCell ref="A1:F1"/>
    <mergeCell ref="A2:F2"/>
    <mergeCell ref="A4:F4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SheetLayoutView="100" workbookViewId="0">
      <selection sqref="A1:F1"/>
    </sheetView>
  </sheetViews>
  <sheetFormatPr defaultRowHeight="15" customHeight="1" x14ac:dyDescent="0.2"/>
  <cols>
    <col min="1" max="1" width="14.140625" style="97" customWidth="1"/>
    <col min="2" max="2" width="74.85546875" style="97" customWidth="1"/>
    <col min="3" max="3" width="15.42578125" style="97" customWidth="1"/>
    <col min="4" max="4" width="12.5703125" style="97" customWidth="1"/>
    <col min="5" max="5" width="13" style="97" customWidth="1"/>
    <col min="6" max="6" width="14.7109375" style="97" customWidth="1"/>
    <col min="7" max="16384" width="9.140625" style="97"/>
  </cols>
  <sheetData>
    <row r="1" spans="1:6" ht="18.75" x14ac:dyDescent="0.3">
      <c r="A1" s="1837" t="str">
        <f>'6. Köt+önk_Szakorvosi'!A1:F1</f>
        <v>Pilisvörösvár Város Önkormányzata Képviselő-testületének 2/2018. (II. 9.) önkormányzati rendelete</v>
      </c>
      <c r="B1" s="1837"/>
      <c r="C1" s="1837"/>
      <c r="D1" s="1837"/>
      <c r="E1" s="1837"/>
      <c r="F1" s="1837"/>
    </row>
    <row r="2" spans="1:6" ht="18.75" x14ac:dyDescent="0.3">
      <c r="A2" s="1837" t="str">
        <f>'6. Köt+önk_Szakorvosi'!A2:F2</f>
        <v>az Önkormányzat  2018. évi költségvetéséről</v>
      </c>
      <c r="B2" s="1837"/>
      <c r="C2" s="1837"/>
      <c r="D2" s="1837"/>
      <c r="E2" s="1837"/>
      <c r="F2" s="1837"/>
    </row>
    <row r="4" spans="1:6" ht="18.75" x14ac:dyDescent="0.3">
      <c r="A4" s="1838" t="str">
        <f>Tartalomjegyzék_2018!B14</f>
        <v>Ligeti Cseperedő Óvoda költségvetése kötelező és önként vállalt feladat szerinti bontásban</v>
      </c>
      <c r="B4" s="1838"/>
      <c r="C4" s="1838"/>
      <c r="D4" s="1838"/>
      <c r="E4" s="1838"/>
      <c r="F4" s="1838"/>
    </row>
    <row r="5" spans="1:6" ht="18.75" x14ac:dyDescent="0.3">
      <c r="F5" s="318" t="s">
        <v>16</v>
      </c>
    </row>
    <row r="6" spans="1:6" ht="15" customHeight="1" thickBot="1" x14ac:dyDescent="0.35">
      <c r="F6" s="318" t="s">
        <v>329</v>
      </c>
    </row>
    <row r="7" spans="1:6" ht="18.75" x14ac:dyDescent="0.2">
      <c r="A7" s="1830" t="s">
        <v>370</v>
      </c>
      <c r="B7" s="1832" t="s">
        <v>787</v>
      </c>
      <c r="C7" s="1832" t="s">
        <v>1056</v>
      </c>
      <c r="D7" s="1834" t="s">
        <v>1057</v>
      </c>
      <c r="E7" s="1835"/>
      <c r="F7" s="1836"/>
    </row>
    <row r="8" spans="1:6" ht="49.5" x14ac:dyDescent="0.2">
      <c r="A8" s="1831"/>
      <c r="B8" s="1833"/>
      <c r="C8" s="1833"/>
      <c r="D8" s="1386" t="s">
        <v>159</v>
      </c>
      <c r="E8" s="1386" t="s">
        <v>160</v>
      </c>
      <c r="F8" s="1414" t="s">
        <v>371</v>
      </c>
    </row>
    <row r="9" spans="1:6" s="54" customFormat="1" ht="15" customHeight="1" x14ac:dyDescent="0.25">
      <c r="A9" s="114" t="s">
        <v>381</v>
      </c>
      <c r="B9" s="115" t="s">
        <v>380</v>
      </c>
      <c r="C9" s="115"/>
      <c r="D9" s="126"/>
      <c r="E9" s="126"/>
      <c r="F9" s="127">
        <f>D9+E9</f>
        <v>0</v>
      </c>
    </row>
    <row r="10" spans="1:6" s="54" customFormat="1" ht="15" customHeight="1" x14ac:dyDescent="0.25">
      <c r="A10" s="114" t="s">
        <v>383</v>
      </c>
      <c r="B10" s="115" t="s">
        <v>382</v>
      </c>
      <c r="C10" s="115"/>
      <c r="D10" s="126"/>
      <c r="E10" s="126"/>
      <c r="F10" s="127">
        <f t="shared" ref="F10:F40" si="0">D10+E10</f>
        <v>0</v>
      </c>
    </row>
    <row r="11" spans="1:6" s="54" customFormat="1" ht="15" customHeight="1" x14ac:dyDescent="0.25">
      <c r="A11" s="122" t="s">
        <v>385</v>
      </c>
      <c r="B11" s="105" t="s">
        <v>384</v>
      </c>
      <c r="C11" s="105"/>
      <c r="D11" s="154"/>
      <c r="E11" s="154"/>
      <c r="F11" s="155">
        <f t="shared" si="0"/>
        <v>0</v>
      </c>
    </row>
    <row r="12" spans="1:6" ht="15" customHeight="1" x14ac:dyDescent="0.25">
      <c r="A12" s="122" t="s">
        <v>389</v>
      </c>
      <c r="B12" s="105" t="s">
        <v>388</v>
      </c>
      <c r="C12" s="105"/>
      <c r="D12" s="154"/>
      <c r="E12" s="154"/>
      <c r="F12" s="155">
        <f t="shared" si="0"/>
        <v>0</v>
      </c>
    </row>
    <row r="13" spans="1:6" ht="15" customHeight="1" x14ac:dyDescent="0.25">
      <c r="A13" s="861" t="s">
        <v>153</v>
      </c>
      <c r="B13" s="862" t="s">
        <v>165</v>
      </c>
      <c r="C13" s="862"/>
      <c r="D13" s="154"/>
      <c r="E13" s="154"/>
      <c r="F13" s="127">
        <f t="shared" si="0"/>
        <v>0</v>
      </c>
    </row>
    <row r="14" spans="1:6" s="54" customFormat="1" ht="15" customHeight="1" x14ac:dyDescent="0.25">
      <c r="A14" s="114" t="s">
        <v>111</v>
      </c>
      <c r="B14" s="115" t="s">
        <v>164</v>
      </c>
      <c r="C14" s="115"/>
      <c r="D14" s="126"/>
      <c r="E14" s="126"/>
      <c r="F14" s="127">
        <f t="shared" si="0"/>
        <v>0</v>
      </c>
    </row>
    <row r="15" spans="1:6" s="54" customFormat="1" ht="15" customHeight="1" x14ac:dyDescent="0.25">
      <c r="A15" s="114" t="s">
        <v>392</v>
      </c>
      <c r="B15" s="115" t="s">
        <v>161</v>
      </c>
      <c r="C15" s="115"/>
      <c r="D15" s="126"/>
      <c r="E15" s="126"/>
      <c r="F15" s="127">
        <f t="shared" si="0"/>
        <v>0</v>
      </c>
    </row>
    <row r="16" spans="1:6" s="54" customFormat="1" ht="15" customHeight="1" x14ac:dyDescent="0.25">
      <c r="A16" s="122" t="s">
        <v>394</v>
      </c>
      <c r="B16" s="105" t="s">
        <v>393</v>
      </c>
      <c r="C16" s="105"/>
      <c r="D16" s="154"/>
      <c r="E16" s="154"/>
      <c r="F16" s="155">
        <f t="shared" si="0"/>
        <v>0</v>
      </c>
    </row>
    <row r="17" spans="1:6" s="54" customFormat="1" ht="15" customHeight="1" x14ac:dyDescent="0.25">
      <c r="A17" s="114" t="s">
        <v>123</v>
      </c>
      <c r="B17" s="107" t="s">
        <v>395</v>
      </c>
      <c r="C17" s="107"/>
      <c r="D17" s="126"/>
      <c r="E17" s="126"/>
      <c r="F17" s="127">
        <f t="shared" si="0"/>
        <v>0</v>
      </c>
    </row>
    <row r="18" spans="1:6" s="54" customFormat="1" ht="15" customHeight="1" x14ac:dyDescent="0.25">
      <c r="A18" s="114" t="s">
        <v>122</v>
      </c>
      <c r="B18" s="115" t="s">
        <v>1106</v>
      </c>
      <c r="C18" s="1416">
        <v>250</v>
      </c>
      <c r="D18" s="1430"/>
      <c r="E18" s="126">
        <f>'3. Gesz költségvetés'!D19</f>
        <v>250</v>
      </c>
      <c r="F18" s="127">
        <f t="shared" si="0"/>
        <v>250</v>
      </c>
    </row>
    <row r="19" spans="1:6" s="54" customFormat="1" ht="15" customHeight="1" x14ac:dyDescent="0.25">
      <c r="A19" s="114" t="s">
        <v>121</v>
      </c>
      <c r="B19" s="115" t="s">
        <v>116</v>
      </c>
      <c r="C19" s="115"/>
      <c r="D19" s="126"/>
      <c r="E19" s="126"/>
      <c r="F19" s="127">
        <f t="shared" si="0"/>
        <v>0</v>
      </c>
    </row>
    <row r="20" spans="1:6" s="54" customFormat="1" ht="15" customHeight="1" x14ac:dyDescent="0.25">
      <c r="A20" s="114" t="s">
        <v>402</v>
      </c>
      <c r="B20" s="115" t="s">
        <v>401</v>
      </c>
      <c r="C20" s="115"/>
      <c r="D20" s="126"/>
      <c r="E20" s="126"/>
      <c r="F20" s="127">
        <f t="shared" si="0"/>
        <v>0</v>
      </c>
    </row>
    <row r="21" spans="1:6" s="54" customFormat="1" ht="15" customHeight="1" x14ac:dyDescent="0.25">
      <c r="A21" s="114" t="s">
        <v>404</v>
      </c>
      <c r="B21" s="115" t="s">
        <v>403</v>
      </c>
      <c r="C21" s="115"/>
      <c r="D21" s="126"/>
      <c r="E21" s="126"/>
      <c r="F21" s="127">
        <f t="shared" si="0"/>
        <v>0</v>
      </c>
    </row>
    <row r="22" spans="1:6" s="54" customFormat="1" ht="15" customHeight="1" x14ac:dyDescent="0.25">
      <c r="A22" s="114" t="s">
        <v>408</v>
      </c>
      <c r="B22" s="115" t="s">
        <v>407</v>
      </c>
      <c r="C22" s="115"/>
      <c r="D22" s="126"/>
      <c r="E22" s="126"/>
      <c r="F22" s="127">
        <f t="shared" si="0"/>
        <v>0</v>
      </c>
    </row>
    <row r="23" spans="1:6" s="54" customFormat="1" ht="15" customHeight="1" x14ac:dyDescent="0.25">
      <c r="A23" s="122" t="s">
        <v>410</v>
      </c>
      <c r="B23" s="106" t="s">
        <v>409</v>
      </c>
      <c r="C23" s="154">
        <f>SUM(C17:C22)</f>
        <v>250</v>
      </c>
      <c r="D23" s="154">
        <f>SUM(D17:D22)</f>
        <v>0</v>
      </c>
      <c r="E23" s="154">
        <f>SUM(E17:E22)</f>
        <v>250</v>
      </c>
      <c r="F23" s="155">
        <f t="shared" si="0"/>
        <v>250</v>
      </c>
    </row>
    <row r="24" spans="1:6" s="54" customFormat="1" ht="16.5" x14ac:dyDescent="0.25">
      <c r="A24" s="122" t="s">
        <v>416</v>
      </c>
      <c r="B24" s="105" t="s">
        <v>415</v>
      </c>
      <c r="C24" s="105"/>
      <c r="D24" s="154"/>
      <c r="E24" s="154"/>
      <c r="F24" s="155">
        <f t="shared" si="0"/>
        <v>0</v>
      </c>
    </row>
    <row r="25" spans="1:6" s="54" customFormat="1" ht="15" customHeight="1" x14ac:dyDescent="0.25">
      <c r="A25" s="122" t="s">
        <v>420</v>
      </c>
      <c r="B25" s="105" t="s">
        <v>419</v>
      </c>
      <c r="C25" s="105"/>
      <c r="D25" s="154"/>
      <c r="E25" s="154"/>
      <c r="F25" s="155">
        <f t="shared" si="0"/>
        <v>0</v>
      </c>
    </row>
    <row r="26" spans="1:6" s="54" customFormat="1" ht="15" customHeight="1" x14ac:dyDescent="0.25">
      <c r="A26" s="114" t="s">
        <v>422</v>
      </c>
      <c r="B26" s="115" t="s">
        <v>421</v>
      </c>
      <c r="C26" s="115"/>
      <c r="D26" s="126"/>
      <c r="E26" s="126"/>
      <c r="F26" s="127">
        <f t="shared" si="0"/>
        <v>0</v>
      </c>
    </row>
    <row r="27" spans="1:6" s="54" customFormat="1" ht="15" customHeight="1" x14ac:dyDescent="0.25">
      <c r="A27" s="114" t="s">
        <v>424</v>
      </c>
      <c r="B27" s="107" t="s">
        <v>423</v>
      </c>
      <c r="C27" s="107"/>
      <c r="D27" s="126"/>
      <c r="E27" s="126"/>
      <c r="F27" s="127">
        <f t="shared" si="0"/>
        <v>0</v>
      </c>
    </row>
    <row r="28" spans="1:6" s="54" customFormat="1" ht="15" customHeight="1" x14ac:dyDescent="0.25">
      <c r="A28" s="122" t="s">
        <v>426</v>
      </c>
      <c r="B28" s="105" t="s">
        <v>425</v>
      </c>
      <c r="C28" s="105"/>
      <c r="D28" s="154"/>
      <c r="E28" s="154"/>
      <c r="F28" s="127">
        <f t="shared" si="0"/>
        <v>0</v>
      </c>
    </row>
    <row r="29" spans="1:6" s="54" customFormat="1" ht="15" customHeight="1" x14ac:dyDescent="0.25">
      <c r="A29" s="128"/>
      <c r="B29" s="129" t="s">
        <v>98</v>
      </c>
      <c r="C29" s="130">
        <f>C11+C12+C16+C23+C25</f>
        <v>250</v>
      </c>
      <c r="D29" s="130">
        <f>D11+D12+D16+D23+D25</f>
        <v>0</v>
      </c>
      <c r="E29" s="130">
        <f>E11+E12+E16+E23+E25</f>
        <v>250</v>
      </c>
      <c r="F29" s="131">
        <f>D29+E29</f>
        <v>250</v>
      </c>
    </row>
    <row r="30" spans="1:6" ht="15" customHeight="1" x14ac:dyDescent="0.25">
      <c r="A30" s="128"/>
      <c r="B30" s="129" t="s">
        <v>99</v>
      </c>
      <c r="C30" s="130">
        <f>C24+C28</f>
        <v>0</v>
      </c>
      <c r="D30" s="130">
        <f>D24+D28</f>
        <v>0</v>
      </c>
      <c r="E30" s="130">
        <f>E24+E28</f>
        <v>0</v>
      </c>
      <c r="F30" s="131">
        <f t="shared" si="0"/>
        <v>0</v>
      </c>
    </row>
    <row r="31" spans="1:6" ht="15" customHeight="1" x14ac:dyDescent="0.25">
      <c r="A31" s="117" t="s">
        <v>428</v>
      </c>
      <c r="B31" s="112" t="s">
        <v>427</v>
      </c>
      <c r="C31" s="123">
        <f>SUM(C29:C30)</f>
        <v>250</v>
      </c>
      <c r="D31" s="123">
        <f>SUM(D29:D30)</f>
        <v>0</v>
      </c>
      <c r="E31" s="123">
        <f>SUM(E29:E30)</f>
        <v>250</v>
      </c>
      <c r="F31" s="124">
        <f t="shared" si="0"/>
        <v>250</v>
      </c>
    </row>
    <row r="32" spans="1:6" ht="15" customHeight="1" x14ac:dyDescent="0.25">
      <c r="A32" s="132"/>
      <c r="B32" s="133" t="s">
        <v>429</v>
      </c>
      <c r="C32" s="134">
        <f t="shared" ref="C32:E33" si="1">C29-C59</f>
        <v>-163397</v>
      </c>
      <c r="D32" s="134">
        <f t="shared" si="1"/>
        <v>-173934</v>
      </c>
      <c r="E32" s="134">
        <f t="shared" si="1"/>
        <v>0</v>
      </c>
      <c r="F32" s="135">
        <f t="shared" si="0"/>
        <v>-173934</v>
      </c>
    </row>
    <row r="33" spans="1:7" ht="15" customHeight="1" x14ac:dyDescent="0.25">
      <c r="A33" s="132"/>
      <c r="B33" s="133" t="s">
        <v>430</v>
      </c>
      <c r="C33" s="134">
        <f t="shared" si="1"/>
        <v>-1153</v>
      </c>
      <c r="D33" s="134">
        <f t="shared" si="1"/>
        <v>-762</v>
      </c>
      <c r="E33" s="134">
        <f t="shared" si="1"/>
        <v>0</v>
      </c>
      <c r="F33" s="135">
        <f t="shared" si="0"/>
        <v>-762</v>
      </c>
    </row>
    <row r="34" spans="1:7" ht="15" customHeight="1" x14ac:dyDescent="0.25">
      <c r="A34" s="120" t="s">
        <v>434</v>
      </c>
      <c r="B34" s="107" t="s">
        <v>433</v>
      </c>
      <c r="C34" s="126"/>
      <c r="D34" s="126"/>
      <c r="E34" s="126"/>
      <c r="F34" s="127">
        <f t="shared" si="0"/>
        <v>0</v>
      </c>
    </row>
    <row r="35" spans="1:7" ht="15" customHeight="1" x14ac:dyDescent="0.25">
      <c r="A35" s="120" t="s">
        <v>436</v>
      </c>
      <c r="B35" s="115" t="s">
        <v>435</v>
      </c>
      <c r="C35" s="126"/>
      <c r="D35" s="126"/>
      <c r="E35" s="126"/>
      <c r="F35" s="127">
        <f t="shared" si="0"/>
        <v>0</v>
      </c>
    </row>
    <row r="36" spans="1:7" ht="29.25" customHeight="1" x14ac:dyDescent="0.25">
      <c r="A36" s="120" t="s">
        <v>436</v>
      </c>
      <c r="B36" s="115" t="s">
        <v>437</v>
      </c>
      <c r="C36" s="126"/>
      <c r="D36" s="126"/>
      <c r="E36" s="126"/>
      <c r="F36" s="127">
        <f t="shared" si="0"/>
        <v>0</v>
      </c>
    </row>
    <row r="37" spans="1:7" s="54" customFormat="1" ht="15" customHeight="1" x14ac:dyDescent="0.25">
      <c r="A37" s="120" t="s">
        <v>439</v>
      </c>
      <c r="B37" s="115" t="s">
        <v>438</v>
      </c>
      <c r="C37" s="126"/>
      <c r="D37" s="126"/>
      <c r="E37" s="126"/>
      <c r="F37" s="127">
        <f t="shared" si="0"/>
        <v>0</v>
      </c>
    </row>
    <row r="38" spans="1:7" ht="15" customHeight="1" x14ac:dyDescent="0.25">
      <c r="A38" s="120" t="s">
        <v>441</v>
      </c>
      <c r="B38" s="115" t="s">
        <v>440</v>
      </c>
      <c r="C38" s="126">
        <f>'3. Gesz költségvetés'!C33</f>
        <v>164550</v>
      </c>
      <c r="D38" s="126">
        <f>'3. Gesz költségvetés'!D33</f>
        <v>174696</v>
      </c>
      <c r="E38" s="126"/>
      <c r="F38" s="127">
        <f t="shared" si="0"/>
        <v>174696</v>
      </c>
    </row>
    <row r="39" spans="1:7" ht="15" customHeight="1" x14ac:dyDescent="0.25">
      <c r="A39" s="146" t="s">
        <v>449</v>
      </c>
      <c r="B39" s="145" t="s">
        <v>448</v>
      </c>
      <c r="C39" s="123">
        <f>SUM(C34:C38)</f>
        <v>164550</v>
      </c>
      <c r="D39" s="123">
        <f>SUM(D34:D38)</f>
        <v>174696</v>
      </c>
      <c r="E39" s="123">
        <f>SUM(E34:E38)</f>
        <v>0</v>
      </c>
      <c r="F39" s="124">
        <f t="shared" si="0"/>
        <v>174696</v>
      </c>
    </row>
    <row r="40" spans="1:7" ht="17.25" thickBot="1" x14ac:dyDescent="0.3">
      <c r="A40" s="158"/>
      <c r="B40" s="159" t="s">
        <v>362</v>
      </c>
      <c r="C40" s="164">
        <f>C31+C38</f>
        <v>164800</v>
      </c>
      <c r="D40" s="164">
        <f>D31+D38</f>
        <v>174696</v>
      </c>
      <c r="E40" s="164">
        <f>E31+E38</f>
        <v>250</v>
      </c>
      <c r="F40" s="165">
        <f t="shared" si="0"/>
        <v>174946</v>
      </c>
      <c r="G40" s="575"/>
    </row>
    <row r="41" spans="1:7" ht="15" customHeight="1" thickBot="1" x14ac:dyDescent="0.3">
      <c r="A41" s="979"/>
      <c r="B41" s="979"/>
      <c r="C41" s="979"/>
      <c r="D41" s="979"/>
      <c r="E41" s="979"/>
      <c r="F41" s="979"/>
    </row>
    <row r="42" spans="1:7" ht="18.75" x14ac:dyDescent="0.2">
      <c r="A42" s="1830" t="s">
        <v>370</v>
      </c>
      <c r="B42" s="1832" t="s">
        <v>788</v>
      </c>
      <c r="C42" s="1832" t="s">
        <v>1056</v>
      </c>
      <c r="D42" s="1834" t="s">
        <v>1057</v>
      </c>
      <c r="E42" s="1835"/>
      <c r="F42" s="1836"/>
    </row>
    <row r="43" spans="1:7" ht="49.5" x14ac:dyDescent="0.2">
      <c r="A43" s="1831"/>
      <c r="B43" s="1833"/>
      <c r="C43" s="1833"/>
      <c r="D43" s="1386" t="s">
        <v>159</v>
      </c>
      <c r="E43" s="1386" t="s">
        <v>160</v>
      </c>
      <c r="F43" s="1414" t="s">
        <v>371</v>
      </c>
    </row>
    <row r="44" spans="1:7" ht="15" customHeight="1" x14ac:dyDescent="0.25">
      <c r="A44" s="103" t="s">
        <v>294</v>
      </c>
      <c r="B44" s="104" t="s">
        <v>295</v>
      </c>
      <c r="C44" s="126">
        <f>'3. Gesz költségvetés'!C39</f>
        <v>122477</v>
      </c>
      <c r="D44" s="126">
        <f>'3. Gesz költségvetés'!D39</f>
        <v>132929</v>
      </c>
      <c r="E44" s="126"/>
      <c r="F44" s="127">
        <f>D44+E44</f>
        <v>132929</v>
      </c>
    </row>
    <row r="45" spans="1:7" ht="15" customHeight="1" x14ac:dyDescent="0.25">
      <c r="A45" s="103" t="s">
        <v>296</v>
      </c>
      <c r="B45" s="115" t="s">
        <v>297</v>
      </c>
      <c r="C45" s="126">
        <f>'3. Gesz költségvetés'!C40</f>
        <v>28662</v>
      </c>
      <c r="D45" s="126">
        <f>'3. Gesz költségvetés'!D40</f>
        <v>27501</v>
      </c>
      <c r="E45" s="126"/>
      <c r="F45" s="127">
        <f>D45+E45</f>
        <v>27501</v>
      </c>
    </row>
    <row r="46" spans="1:7" ht="15" customHeight="1" x14ac:dyDescent="0.25">
      <c r="A46" s="103" t="s">
        <v>298</v>
      </c>
      <c r="B46" s="115" t="s">
        <v>299</v>
      </c>
      <c r="C46" s="126">
        <v>12508</v>
      </c>
      <c r="D46" s="126">
        <f>'3. Gesz költségvetés'!D41-E46</f>
        <v>13504</v>
      </c>
      <c r="E46" s="126">
        <v>250</v>
      </c>
      <c r="F46" s="127">
        <f>D46+E46</f>
        <v>13754</v>
      </c>
    </row>
    <row r="47" spans="1:7" ht="15" customHeight="1" x14ac:dyDescent="0.25">
      <c r="A47" s="103" t="s">
        <v>300</v>
      </c>
      <c r="B47" s="107" t="s">
        <v>38</v>
      </c>
      <c r="C47" s="126"/>
      <c r="D47" s="126"/>
      <c r="E47" s="126"/>
      <c r="F47" s="127">
        <f t="shared" ref="F47:F58" si="2">D47+E47</f>
        <v>0</v>
      </c>
    </row>
    <row r="48" spans="1:7" ht="15" customHeight="1" x14ac:dyDescent="0.25">
      <c r="A48" s="103" t="s">
        <v>301</v>
      </c>
      <c r="B48" s="108" t="s">
        <v>302</v>
      </c>
      <c r="C48" s="126"/>
      <c r="D48" s="126"/>
      <c r="E48" s="126"/>
      <c r="F48" s="127">
        <f t="shared" si="2"/>
        <v>0</v>
      </c>
    </row>
    <row r="49" spans="1:6" ht="15" customHeight="1" x14ac:dyDescent="0.25">
      <c r="A49" s="103" t="s">
        <v>304</v>
      </c>
      <c r="B49" s="108" t="s">
        <v>303</v>
      </c>
      <c r="C49" s="126"/>
      <c r="D49" s="126"/>
      <c r="E49" s="126"/>
      <c r="F49" s="127">
        <f t="shared" si="2"/>
        <v>0</v>
      </c>
    </row>
    <row r="50" spans="1:6" ht="15" customHeight="1" x14ac:dyDescent="0.25">
      <c r="A50" s="103" t="s">
        <v>776</v>
      </c>
      <c r="B50" s="109" t="s">
        <v>305</v>
      </c>
      <c r="C50" s="126"/>
      <c r="D50" s="126"/>
      <c r="E50" s="126"/>
      <c r="F50" s="127">
        <f t="shared" si="2"/>
        <v>0</v>
      </c>
    </row>
    <row r="51" spans="1:6" ht="15" customHeight="1" x14ac:dyDescent="0.25">
      <c r="A51" s="103" t="s">
        <v>776</v>
      </c>
      <c r="B51" s="109" t="s">
        <v>163</v>
      </c>
      <c r="C51" s="126"/>
      <c r="D51" s="126"/>
      <c r="E51" s="126"/>
      <c r="F51" s="127">
        <f t="shared" si="2"/>
        <v>0</v>
      </c>
    </row>
    <row r="52" spans="1:6" ht="15" customHeight="1" x14ac:dyDescent="0.25">
      <c r="A52" s="103" t="s">
        <v>776</v>
      </c>
      <c r="B52" s="109" t="s">
        <v>306</v>
      </c>
      <c r="C52" s="126"/>
      <c r="D52" s="126"/>
      <c r="E52" s="126"/>
      <c r="F52" s="127">
        <f t="shared" si="2"/>
        <v>0</v>
      </c>
    </row>
    <row r="53" spans="1:6" ht="15" customHeight="1" x14ac:dyDescent="0.25">
      <c r="A53" s="103" t="s">
        <v>307</v>
      </c>
      <c r="B53" s="107" t="s">
        <v>308</v>
      </c>
      <c r="C53" s="126"/>
      <c r="D53" s="126"/>
      <c r="E53" s="126"/>
      <c r="F53" s="127">
        <f t="shared" si="2"/>
        <v>0</v>
      </c>
    </row>
    <row r="54" spans="1:6" ht="15" customHeight="1" x14ac:dyDescent="0.25">
      <c r="A54" s="103" t="s">
        <v>309</v>
      </c>
      <c r="B54" s="138" t="s">
        <v>452</v>
      </c>
      <c r="C54" s="126">
        <f>'3. Gesz költségvetés'!C48</f>
        <v>1153</v>
      </c>
      <c r="D54" s="126">
        <f>'3. Gesz költségvetés'!D48</f>
        <v>762</v>
      </c>
      <c r="E54" s="126"/>
      <c r="F54" s="127">
        <f t="shared" si="2"/>
        <v>762</v>
      </c>
    </row>
    <row r="55" spans="1:6" ht="15" customHeight="1" x14ac:dyDescent="0.25">
      <c r="A55" s="103" t="s">
        <v>310</v>
      </c>
      <c r="B55" s="107" t="s">
        <v>311</v>
      </c>
      <c r="C55" s="126"/>
      <c r="D55" s="126"/>
      <c r="E55" s="126"/>
      <c r="F55" s="127">
        <f t="shared" si="2"/>
        <v>0</v>
      </c>
    </row>
    <row r="56" spans="1:6" ht="15" customHeight="1" x14ac:dyDescent="0.25">
      <c r="A56" s="103" t="s">
        <v>259</v>
      </c>
      <c r="B56" s="107" t="s">
        <v>162</v>
      </c>
      <c r="C56" s="126"/>
      <c r="D56" s="126"/>
      <c r="E56" s="126"/>
      <c r="F56" s="127">
        <f t="shared" si="2"/>
        <v>0</v>
      </c>
    </row>
    <row r="57" spans="1:6" ht="15" customHeight="1" x14ac:dyDescent="0.25">
      <c r="A57" s="103" t="s">
        <v>312</v>
      </c>
      <c r="B57" s="107" t="s">
        <v>313</v>
      </c>
      <c r="C57" s="126"/>
      <c r="D57" s="126"/>
      <c r="E57" s="126"/>
      <c r="F57" s="127">
        <f t="shared" si="2"/>
        <v>0</v>
      </c>
    </row>
    <row r="58" spans="1:6" ht="15" customHeight="1" x14ac:dyDescent="0.25">
      <c r="A58" s="103" t="s">
        <v>314</v>
      </c>
      <c r="B58" s="107" t="s">
        <v>315</v>
      </c>
      <c r="C58" s="126"/>
      <c r="D58" s="126"/>
      <c r="E58" s="126"/>
      <c r="F58" s="127">
        <f t="shared" si="2"/>
        <v>0</v>
      </c>
    </row>
    <row r="59" spans="1:6" ht="15" customHeight="1" x14ac:dyDescent="0.25">
      <c r="A59" s="147"/>
      <c r="B59" s="144" t="s">
        <v>330</v>
      </c>
      <c r="C59" s="156">
        <f>SUM(C44:C53)</f>
        <v>163647</v>
      </c>
      <c r="D59" s="156">
        <f>SUM(D44:D53)</f>
        <v>173934</v>
      </c>
      <c r="E59" s="156">
        <f>SUM(E44:E53)</f>
        <v>250</v>
      </c>
      <c r="F59" s="157">
        <f>SUM(F44:F53)</f>
        <v>174184</v>
      </c>
    </row>
    <row r="60" spans="1:6" ht="15" customHeight="1" x14ac:dyDescent="0.25">
      <c r="A60" s="147"/>
      <c r="B60" s="144" t="s">
        <v>331</v>
      </c>
      <c r="C60" s="156">
        <f>SUM(C54:C58)</f>
        <v>1153</v>
      </c>
      <c r="D60" s="156">
        <f>SUM(D54:D58)</f>
        <v>762</v>
      </c>
      <c r="E60" s="156">
        <f>SUM(E54:E58)</f>
        <v>0</v>
      </c>
      <c r="F60" s="157">
        <f>SUM(F54:F58)</f>
        <v>762</v>
      </c>
    </row>
    <row r="61" spans="1:6" ht="15" customHeight="1" x14ac:dyDescent="0.25">
      <c r="A61" s="117" t="s">
        <v>316</v>
      </c>
      <c r="B61" s="112" t="s">
        <v>317</v>
      </c>
      <c r="C61" s="123">
        <f>SUM(C59:C60)</f>
        <v>164800</v>
      </c>
      <c r="D61" s="123">
        <f>SUM(D59:D60)</f>
        <v>174696</v>
      </c>
      <c r="E61" s="123">
        <f>SUM(E59:E60)</f>
        <v>250</v>
      </c>
      <c r="F61" s="124">
        <f>SUM(F59:F60)</f>
        <v>174946</v>
      </c>
    </row>
    <row r="62" spans="1:6" ht="15" customHeight="1" x14ac:dyDescent="0.2">
      <c r="A62" s="120" t="s">
        <v>318</v>
      </c>
      <c r="B62" s="107" t="s">
        <v>260</v>
      </c>
      <c r="C62" s="113"/>
      <c r="D62" s="113"/>
      <c r="E62" s="113"/>
      <c r="F62" s="140"/>
    </row>
    <row r="63" spans="1:6" ht="15" customHeight="1" x14ac:dyDescent="0.2">
      <c r="A63" s="120" t="s">
        <v>332</v>
      </c>
      <c r="B63" s="107" t="s">
        <v>333</v>
      </c>
      <c r="C63" s="141"/>
      <c r="D63" s="141"/>
      <c r="E63" s="141"/>
      <c r="F63" s="142"/>
    </row>
    <row r="64" spans="1:6" ht="15" customHeight="1" x14ac:dyDescent="0.25">
      <c r="A64" s="146" t="s">
        <v>328</v>
      </c>
      <c r="B64" s="145" t="s">
        <v>41</v>
      </c>
      <c r="C64" s="123">
        <f>SUM(C62:C63)</f>
        <v>0</v>
      </c>
      <c r="D64" s="123">
        <f>SUM(D62:D63)</f>
        <v>0</v>
      </c>
      <c r="E64" s="123">
        <f>SUM(E62:E63)</f>
        <v>0</v>
      </c>
      <c r="F64" s="124">
        <f>SUM(F62:F63)</f>
        <v>0</v>
      </c>
    </row>
    <row r="65" spans="1:6" ht="17.25" thickBot="1" x14ac:dyDescent="0.3">
      <c r="A65" s="158"/>
      <c r="B65" s="159" t="s">
        <v>352</v>
      </c>
      <c r="C65" s="164">
        <f>C61+C64</f>
        <v>164800</v>
      </c>
      <c r="D65" s="164">
        <f>D61+D64</f>
        <v>174696</v>
      </c>
      <c r="E65" s="164">
        <f>E61+E64</f>
        <v>250</v>
      </c>
      <c r="F65" s="165">
        <f>F61+F64</f>
        <v>174946</v>
      </c>
    </row>
    <row r="67" spans="1:6" ht="15" customHeight="1" x14ac:dyDescent="0.2">
      <c r="F67" s="575"/>
    </row>
    <row r="68" spans="1:6" ht="15" customHeight="1" x14ac:dyDescent="0.2">
      <c r="F68" s="575"/>
    </row>
  </sheetData>
  <mergeCells count="11">
    <mergeCell ref="A42:A43"/>
    <mergeCell ref="B42:B43"/>
    <mergeCell ref="C42:C43"/>
    <mergeCell ref="D42:F42"/>
    <mergeCell ref="A1:F1"/>
    <mergeCell ref="A2:F2"/>
    <mergeCell ref="A4:F4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41</vt:i4>
      </vt:variant>
    </vt:vector>
  </HeadingPairs>
  <TitlesOfParts>
    <vt:vector size="76" baseType="lpstr">
      <vt:lpstr>Tartalomjegyzék_2018</vt:lpstr>
      <vt:lpstr>1.Bev_kiad_kiemelt ei</vt:lpstr>
      <vt:lpstr>2.Bevételek_részletes</vt:lpstr>
      <vt:lpstr>2.Kiadások_részletes </vt:lpstr>
      <vt:lpstr>3. Gesz költségvetés</vt:lpstr>
      <vt:lpstr>4. Köt+önk_Önkori</vt:lpstr>
      <vt:lpstr>5. Köt+önk_PH</vt:lpstr>
      <vt:lpstr>6. Köt+önk_Szakorvosi</vt:lpstr>
      <vt:lpstr>7.Ligeti cseperedő Ovi</vt:lpstr>
      <vt:lpstr>8.Német nemzetiségi Ovi</vt:lpstr>
      <vt:lpstr>9.Művészetek Háza</vt:lpstr>
      <vt:lpstr>10.GESZ</vt:lpstr>
      <vt:lpstr>11. Bölcsöde</vt:lpstr>
      <vt:lpstr>12. Támogatási bevételek(B1,B2)</vt:lpstr>
      <vt:lpstr>13. Költségvetési támogatások</vt:lpstr>
      <vt:lpstr>14. Intézményi normatíva</vt:lpstr>
      <vt:lpstr>15. Működési bev. (B3,B4)</vt:lpstr>
      <vt:lpstr>16. Átvett pénze.(B6,B7)</vt:lpstr>
      <vt:lpstr>17. finanszírozás be_ki (B8,K9)</vt:lpstr>
      <vt:lpstr>18. Dologi kiadások cofog(K3)</vt:lpstr>
      <vt:lpstr>19. Dologi kiad.igazg. (K3)</vt:lpstr>
      <vt:lpstr>20. Ellátottak p.jutattás (K4)</vt:lpstr>
      <vt:lpstr>21. Pe. átad. és tám. (K5)</vt:lpstr>
      <vt:lpstr>22. Tartalékok (K512)</vt:lpstr>
      <vt:lpstr>23. Beruházás (K6)</vt:lpstr>
      <vt:lpstr>24. Felújítás (K7)</vt:lpstr>
      <vt:lpstr>25. Több éves elköt.</vt:lpstr>
      <vt:lpstr>26.sz.létszám</vt:lpstr>
      <vt:lpstr>27. ktgv.mérleg</vt:lpstr>
      <vt:lpstr>28.eir.felh.ütemterv</vt:lpstr>
      <vt:lpstr>29.sz.finansz.ütemterv</vt:lpstr>
      <vt:lpstr>30.sz.közvetett tám.</vt:lpstr>
      <vt:lpstr>31.sz.adósságszolgálat</vt:lpstr>
      <vt:lpstr>32. gördülő</vt:lpstr>
      <vt:lpstr>33. EU projekt</vt:lpstr>
      <vt:lpstr>'30.sz.közvetett tám.'!_ftnref1</vt:lpstr>
      <vt:lpstr>'25. Több éves elköt.'!_pr236</vt:lpstr>
      <vt:lpstr>'25. Több éves elköt.'!_pr313</vt:lpstr>
      <vt:lpstr>'25. Több éves elköt.'!_pr315</vt:lpstr>
      <vt:lpstr>Tartalomjegyzék_2018!gitta</vt:lpstr>
      <vt:lpstr>'13. Költségvetési támogatások'!Nyomtatási_cím</vt:lpstr>
      <vt:lpstr>'1.Bev_kiad_kiemelt ei'!Nyomtatási_terület</vt:lpstr>
      <vt:lpstr>'10.GESZ'!Nyomtatási_terület</vt:lpstr>
      <vt:lpstr>'11. Bölcsöde'!Nyomtatási_terület</vt:lpstr>
      <vt:lpstr>'12. Támogatási bevételek(B1,B2)'!Nyomtatási_terület</vt:lpstr>
      <vt:lpstr>'13. Költségvetési támogatások'!Nyomtatási_terület</vt:lpstr>
      <vt:lpstr>'14. Intézményi normatíva'!Nyomtatási_terület</vt:lpstr>
      <vt:lpstr>'15. Működési bev. (B3,B4)'!Nyomtatási_terület</vt:lpstr>
      <vt:lpstr>'16. Átvett pénze.(B6,B7)'!Nyomtatási_terület</vt:lpstr>
      <vt:lpstr>'17. finanszírozás be_ki (B8,K9)'!Nyomtatási_terület</vt:lpstr>
      <vt:lpstr>'18. Dologi kiadások cofog(K3)'!Nyomtatási_terület</vt:lpstr>
      <vt:lpstr>'19. Dologi kiad.igazg. (K3)'!Nyomtatási_terület</vt:lpstr>
      <vt:lpstr>'2.Bevételek_részletes'!Nyomtatási_terület</vt:lpstr>
      <vt:lpstr>'2.Kiadások_részletes '!Nyomtatási_terület</vt:lpstr>
      <vt:lpstr>'20. Ellátottak p.jutattás (K4)'!Nyomtatási_terület</vt:lpstr>
      <vt:lpstr>'21. Pe. átad. és tám. (K5)'!Nyomtatási_terület</vt:lpstr>
      <vt:lpstr>'22. Tartalékok (K512)'!Nyomtatási_terület</vt:lpstr>
      <vt:lpstr>'23. Beruházás (K6)'!Nyomtatási_terület</vt:lpstr>
      <vt:lpstr>'24. Felújítás (K7)'!Nyomtatási_terület</vt:lpstr>
      <vt:lpstr>'25. Több éves elköt.'!Nyomtatási_terület</vt:lpstr>
      <vt:lpstr>'26.sz.létszám'!Nyomtatási_terület</vt:lpstr>
      <vt:lpstr>'27. ktgv.mérleg'!Nyomtatási_terület</vt:lpstr>
      <vt:lpstr>'28.eir.felh.ütemterv'!Nyomtatási_terület</vt:lpstr>
      <vt:lpstr>'29.sz.finansz.ütemterv'!Nyomtatási_terület</vt:lpstr>
      <vt:lpstr>'3. Gesz költségvetés'!Nyomtatási_terület</vt:lpstr>
      <vt:lpstr>'30.sz.közvetett tám.'!Nyomtatási_terület</vt:lpstr>
      <vt:lpstr>'31.sz.adósságszolgálat'!Nyomtatási_terület</vt:lpstr>
      <vt:lpstr>'32. gördülő'!Nyomtatási_terület</vt:lpstr>
      <vt:lpstr>'33. EU projekt'!Nyomtatási_terület</vt:lpstr>
      <vt:lpstr>'4. Köt+önk_Önkori'!Nyomtatási_terület</vt:lpstr>
      <vt:lpstr>'5. Köt+önk_PH'!Nyomtatási_terület</vt:lpstr>
      <vt:lpstr>'6. Köt+önk_Szakorvosi'!Nyomtatási_terület</vt:lpstr>
      <vt:lpstr>'7.Ligeti cseperedő Ovi'!Nyomtatási_terület</vt:lpstr>
      <vt:lpstr>'8.Német nemzetiségi Ovi'!Nyomtatási_terület</vt:lpstr>
      <vt:lpstr>'9.Művészetek Háza'!Nyomtatási_terület</vt:lpstr>
      <vt:lpstr>Tartalomjegyzék_2018!Nyomtatási_terület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Schauer Andrea</cp:lastModifiedBy>
  <cp:lastPrinted>2018-02-05T12:35:18Z</cp:lastPrinted>
  <dcterms:created xsi:type="dcterms:W3CDTF">2015-01-09T09:03:33Z</dcterms:created>
  <dcterms:modified xsi:type="dcterms:W3CDTF">2018-02-09T08:10:35Z</dcterms:modified>
</cp:coreProperties>
</file>