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C:\Users\felhasznalo\Documents\Dokumentumok - új\Zárszámadás 2017\"/>
    </mc:Choice>
  </mc:AlternateContent>
  <xr:revisionPtr revIDLastSave="0" documentId="8_{FE202BAE-FBBA-440B-879A-F2999CCF7BF1}" xr6:coauthVersionLast="31" xr6:coauthVersionMax="31" xr10:uidLastSave="{00000000-0000-0000-0000-000000000000}"/>
  <bookViews>
    <workbookView xWindow="0" yWindow="0" windowWidth="21045" windowHeight="9270" tabRatio="802" xr2:uid="{00000000-000D-0000-FFFF-FFFF00000000}"/>
  </bookViews>
  <sheets>
    <sheet name="Tartalomjegyzék_2017" sheetId="70" r:id="rId1"/>
    <sheet name="1.Bev_kiad_kiemelt ei" sheetId="4" r:id="rId2"/>
    <sheet name="2.Bevételek_részletes" sheetId="31" r:id="rId3"/>
    <sheet name="2.Kiadások_részletes " sheetId="68" r:id="rId4"/>
    <sheet name="3. Gesz költségvetés" sheetId="45" r:id="rId5"/>
    <sheet name="4. Köt+önk_Önkori" sheetId="104" r:id="rId6"/>
    <sheet name="5. Köt+önk_PH" sheetId="97" r:id="rId7"/>
    <sheet name="6. Köt+önk_Szakorvosi" sheetId="98" r:id="rId8"/>
    <sheet name="7.Ligeti cseperedő Ovi" sheetId="108" r:id="rId9"/>
    <sheet name="8.Német nemzetiségi Ovi" sheetId="109" r:id="rId10"/>
    <sheet name="9.Művészetek Háza" sheetId="101" r:id="rId11"/>
    <sheet name="10.GESZ" sheetId="102" r:id="rId12"/>
    <sheet name="11. Bölcsöde" sheetId="103" r:id="rId13"/>
    <sheet name="13. Költségvetési támogatások" sheetId="90" state="hidden" r:id="rId14"/>
    <sheet name="12. Támogatási bevételek (B (2)" sheetId="87" r:id="rId15"/>
    <sheet name="13. Működési bev. (B3,B4)" sheetId="6" r:id="rId16"/>
    <sheet name="14. Átvett pénze.(B6,B7)" sheetId="25" r:id="rId17"/>
    <sheet name="15. finanszírozás be_ki (B8,K9)" sheetId="23" r:id="rId18"/>
    <sheet name="16. Dologi kiadások cofog(K3)" sheetId="92" r:id="rId19"/>
    <sheet name="19. Dologi kiad.igazg. (K3)" sheetId="93" state="hidden" r:id="rId20"/>
    <sheet name="17. Ellátottak p.jutattás (K4)" sheetId="38" r:id="rId21"/>
    <sheet name="18. Pe. átad. és tám. (K5)" sheetId="39" r:id="rId22"/>
    <sheet name="19. Tartalékok (K512)" sheetId="41" r:id="rId23"/>
    <sheet name="20. Beruházás (K6)" sheetId="40" r:id="rId24"/>
    <sheet name="21. Felújítás (K7)" sheetId="88" r:id="rId25"/>
    <sheet name="22. Több éves elköt. (2)" sheetId="110" r:id="rId26"/>
    <sheet name="25. Több éves elköt." sheetId="18" state="hidden" r:id="rId27"/>
    <sheet name="23.sz.létszám" sheetId="48" r:id="rId28"/>
    <sheet name="27. ktgv.mérleg" sheetId="91" state="hidden" r:id="rId29"/>
    <sheet name="28.eir.felh.ütemterv" sheetId="82" state="hidden" r:id="rId30"/>
    <sheet name="29.sz.finansz.ütemterv" sheetId="96" state="hidden" r:id="rId31"/>
    <sheet name="24. Immatjavak, tárgyi eszk." sheetId="114" r:id="rId32"/>
    <sheet name="25. pénzmaradvány kimutatás (2)" sheetId="121" r:id="rId33"/>
    <sheet name="Nem,29.sz.közvetett tám." sheetId="107" state="hidden" r:id="rId34"/>
    <sheet name="26. egysz mérleg" sheetId="115" r:id="rId35"/>
    <sheet name="27. Mérleg" sheetId="122" r:id="rId36"/>
    <sheet name="28. mérleg nettó értéken" sheetId="123" r:id="rId37"/>
    <sheet name="28. 0-ig leírtak" sheetId="124" r:id="rId38"/>
    <sheet name="Készlet (2)" sheetId="125" r:id="rId39"/>
    <sheet name="29. közvetett tám." sheetId="113" r:id="rId40"/>
    <sheet name="30. EU projekt " sheetId="126" r:id="rId41"/>
    <sheet name="31.sz.adósságszolgálat" sheetId="55" state="hidden" r:id="rId42"/>
    <sheet name="32. gördülő" sheetId="106" state="hidden" r:id="rId43"/>
  </sheets>
  <externalReferences>
    <externalReference r:id="rId44"/>
    <externalReference r:id="rId45"/>
    <externalReference r:id="rId46"/>
    <externalReference r:id="rId47"/>
    <externalReference r:id="rId48"/>
    <externalReference r:id="rId49"/>
    <externalReference r:id="rId50"/>
  </externalReferences>
  <definedNames>
    <definedName name="_xlnm._FilterDatabase" localSheetId="23" hidden="1">'20. Beruházás (K6)'!$A$4:$N$71</definedName>
    <definedName name="_ftn1" localSheetId="39">'29. közvetett tám.'!#REF!</definedName>
    <definedName name="_ftn1" localSheetId="33">'Nem,29.sz.közvetett tám.'!$D$15</definedName>
    <definedName name="_ftnref1" localSheetId="39">'29. közvetett tám.'!$D$8</definedName>
    <definedName name="_ftnref1" localSheetId="33">'Nem,29.sz.közvetett tám.'!$D$8</definedName>
    <definedName name="_pr232" localSheetId="25">'22. Több éves elköt. (2)'!#REF!</definedName>
    <definedName name="_pr232" localSheetId="26">'25. Több éves elköt.'!#REF!</definedName>
    <definedName name="_pr233" localSheetId="25">'22. Több éves elköt. (2)'!#REF!</definedName>
    <definedName name="_pr233" localSheetId="26">'25. Több éves elköt.'!#REF!</definedName>
    <definedName name="_pr234" localSheetId="25">'22. Több éves elköt. (2)'!#REF!</definedName>
    <definedName name="_pr234" localSheetId="26">'25. Több éves elköt.'!#REF!</definedName>
    <definedName name="_pr235" localSheetId="25">'22. Több éves elköt. (2)'!#REF!</definedName>
    <definedName name="_pr235" localSheetId="26">'25. Több éves elköt.'!#REF!</definedName>
    <definedName name="_pr236" localSheetId="25">'22. Több éves elköt. (2)'!$A$18</definedName>
    <definedName name="_pr236" localSheetId="26">'25. Több éves elköt.'!$A$18</definedName>
    <definedName name="_pr312" localSheetId="25">'22. Több éves elköt. (2)'!#REF!</definedName>
    <definedName name="_pr312" localSheetId="26">'25. Több éves elköt.'!#REF!</definedName>
    <definedName name="_pr313" localSheetId="25">'22. Több éves elköt. (2)'!$A$3</definedName>
    <definedName name="_pr313" localSheetId="26">'25. Több éves elköt.'!$A$3</definedName>
    <definedName name="_pr314" localSheetId="25">'22. Több éves elköt. (2)'!#REF!</definedName>
    <definedName name="_pr314" localSheetId="26">'25. Több éves elköt.'!#REF!</definedName>
    <definedName name="_pr315" localSheetId="25">'22. Több éves elköt. (2)'!$A$12</definedName>
    <definedName name="_pr315" localSheetId="26">'25. Több éves elköt.'!$A$12</definedName>
    <definedName name="a" localSheetId="11">#REF!</definedName>
    <definedName name="a" localSheetId="14">#REF!</definedName>
    <definedName name="a" localSheetId="13">#REF!</definedName>
    <definedName name="a" localSheetId="2">#REF!</definedName>
    <definedName name="a" localSheetId="3">#REF!</definedName>
    <definedName name="a" localSheetId="31">#REF!</definedName>
    <definedName name="a" localSheetId="32">#REF!</definedName>
    <definedName name="a" localSheetId="34">#REF!</definedName>
    <definedName name="a" localSheetId="28">#REF!</definedName>
    <definedName name="a" localSheetId="39">#REF!</definedName>
    <definedName name="a" localSheetId="30">#REF!</definedName>
    <definedName name="a" localSheetId="4">#REF!</definedName>
    <definedName name="a" localSheetId="40">#REF!</definedName>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33">#REF!</definedName>
    <definedName name="a">#REF!</definedName>
    <definedName name="á" localSheetId="11">#REF!</definedName>
    <definedName name="á" localSheetId="14">#REF!</definedName>
    <definedName name="á" localSheetId="13">#REF!</definedName>
    <definedName name="á" localSheetId="2">#REF!</definedName>
    <definedName name="á" localSheetId="3">#REF!</definedName>
    <definedName name="á" localSheetId="31">#REF!</definedName>
    <definedName name="á" localSheetId="32">#REF!</definedName>
    <definedName name="á" localSheetId="34">#REF!</definedName>
    <definedName name="á" localSheetId="28">#REF!</definedName>
    <definedName name="á" localSheetId="39">#REF!</definedName>
    <definedName name="á" localSheetId="30">#REF!</definedName>
    <definedName name="á" localSheetId="4">#REF!</definedName>
    <definedName name="á" localSheetId="40">#REF!</definedName>
    <definedName name="á" localSheetId="5">#REF!</definedName>
    <definedName name="á" localSheetId="6">#REF!</definedName>
    <definedName name="á" localSheetId="7">#REF!</definedName>
    <definedName name="á" localSheetId="8">#REF!</definedName>
    <definedName name="á" localSheetId="9">#REF!</definedName>
    <definedName name="á" localSheetId="10">#REF!</definedName>
    <definedName name="á" localSheetId="33">#REF!</definedName>
    <definedName name="á">#REF!</definedName>
    <definedName name="a_JEGYZŐVEL_____EGYEZTETETT" localSheetId="31">#REF!</definedName>
    <definedName name="a_JEGYZŐVEL_____EGYEZTETETT" localSheetId="32">#REF!</definedName>
    <definedName name="a_JEGYZŐVEL_____EGYEZTETETT" localSheetId="34">#REF!</definedName>
    <definedName name="a_JEGYZŐVEL_____EGYEZTETETT">#REF!</definedName>
    <definedName name="aa" localSheetId="11">#REF!</definedName>
    <definedName name="aa" localSheetId="14">#REF!</definedName>
    <definedName name="aa" localSheetId="13">#REF!</definedName>
    <definedName name="aa" localSheetId="2">#REF!</definedName>
    <definedName name="aa" localSheetId="3">#REF!</definedName>
    <definedName name="aa" localSheetId="31">#REF!</definedName>
    <definedName name="aa" localSheetId="32">#REF!</definedName>
    <definedName name="aa" localSheetId="34">#REF!</definedName>
    <definedName name="aa" localSheetId="28">#REF!</definedName>
    <definedName name="aa" localSheetId="39">#REF!</definedName>
    <definedName name="aa" localSheetId="30">#REF!</definedName>
    <definedName name="aa" localSheetId="4">#REF!</definedName>
    <definedName name="aa" localSheetId="40">#REF!</definedName>
    <definedName name="aa" localSheetId="5">#REF!</definedName>
    <definedName name="aa" localSheetId="6">#REF!</definedName>
    <definedName name="aa" localSheetId="7">#REF!</definedName>
    <definedName name="aa" localSheetId="8">#REF!</definedName>
    <definedName name="aa" localSheetId="9">#REF!</definedName>
    <definedName name="aa" localSheetId="10">#REF!</definedName>
    <definedName name="aa" localSheetId="33">#REF!</definedName>
    <definedName name="aa">#REF!</definedName>
    <definedName name="áá" localSheetId="11">#REF!</definedName>
    <definedName name="áá" localSheetId="14">#REF!</definedName>
    <definedName name="áá" localSheetId="13">#REF!</definedName>
    <definedName name="áá" localSheetId="2">#REF!</definedName>
    <definedName name="áá" localSheetId="3">#REF!</definedName>
    <definedName name="áá" localSheetId="31">#REF!</definedName>
    <definedName name="áá" localSheetId="32">#REF!</definedName>
    <definedName name="áá" localSheetId="34">#REF!</definedName>
    <definedName name="áá" localSheetId="28">#REF!</definedName>
    <definedName name="áá" localSheetId="39">#REF!</definedName>
    <definedName name="áá" localSheetId="30">#REF!</definedName>
    <definedName name="áá" localSheetId="4">#REF!</definedName>
    <definedName name="áá" localSheetId="40">#REF!</definedName>
    <definedName name="áá" localSheetId="5">#REF!</definedName>
    <definedName name="áá" localSheetId="6">#REF!</definedName>
    <definedName name="áá" localSheetId="7">#REF!</definedName>
    <definedName name="áá" localSheetId="8">#REF!</definedName>
    <definedName name="áá" localSheetId="9">#REF!</definedName>
    <definedName name="áá" localSheetId="10">#REF!</definedName>
    <definedName name="áá" localSheetId="33">#REF!</definedName>
    <definedName name="áá">#REF!</definedName>
    <definedName name="aaa" localSheetId="11">#REF!</definedName>
    <definedName name="aaa" localSheetId="14">#REF!</definedName>
    <definedName name="aaa" localSheetId="13">#REF!</definedName>
    <definedName name="aaa" localSheetId="2">#REF!</definedName>
    <definedName name="aaa" localSheetId="3">#REF!</definedName>
    <definedName name="aaa" localSheetId="31">#REF!</definedName>
    <definedName name="aaa" localSheetId="32">#REF!</definedName>
    <definedName name="aaa" localSheetId="34">#REF!</definedName>
    <definedName name="aaa" localSheetId="28">#REF!</definedName>
    <definedName name="aaa" localSheetId="39">#REF!</definedName>
    <definedName name="aaa" localSheetId="30">#REF!</definedName>
    <definedName name="aaa" localSheetId="4">#REF!</definedName>
    <definedName name="aaa" localSheetId="40">#REF!</definedName>
    <definedName name="aaa" localSheetId="5">#REF!</definedName>
    <definedName name="aaa" localSheetId="6">#REF!</definedName>
    <definedName name="aaa" localSheetId="7">#REF!</definedName>
    <definedName name="aaa" localSheetId="8">#REF!</definedName>
    <definedName name="aaa" localSheetId="9">#REF!</definedName>
    <definedName name="aaa" localSheetId="10">#REF!</definedName>
    <definedName name="aaa" localSheetId="33">#REF!</definedName>
    <definedName name="aaa">#REF!</definedName>
    <definedName name="ááá" localSheetId="11">#REF!</definedName>
    <definedName name="ááá" localSheetId="14">#REF!</definedName>
    <definedName name="ááá" localSheetId="13">#REF!</definedName>
    <definedName name="ááá" localSheetId="2">#REF!</definedName>
    <definedName name="ááá" localSheetId="3">#REF!</definedName>
    <definedName name="ááá" localSheetId="31">#REF!</definedName>
    <definedName name="ááá" localSheetId="32">#REF!</definedName>
    <definedName name="ááá" localSheetId="34">#REF!</definedName>
    <definedName name="ááá" localSheetId="28">#REF!</definedName>
    <definedName name="ááá" localSheetId="39">#REF!</definedName>
    <definedName name="ááá" localSheetId="30">#REF!</definedName>
    <definedName name="ááá" localSheetId="4">#REF!</definedName>
    <definedName name="ááá" localSheetId="40">#REF!</definedName>
    <definedName name="ááá" localSheetId="5">#REF!</definedName>
    <definedName name="ááá" localSheetId="6">#REF!</definedName>
    <definedName name="ááá" localSheetId="7">#REF!</definedName>
    <definedName name="ááá" localSheetId="8">#REF!</definedName>
    <definedName name="ááá" localSheetId="9">#REF!</definedName>
    <definedName name="ááá" localSheetId="10">#REF!</definedName>
    <definedName name="ááá" localSheetId="33">#REF!</definedName>
    <definedName name="ááá">#REF!</definedName>
    <definedName name="aaaa" localSheetId="11">#REF!</definedName>
    <definedName name="aaaa" localSheetId="14">#REF!</definedName>
    <definedName name="aaaa" localSheetId="13">#REF!</definedName>
    <definedName name="aaaa" localSheetId="2">#REF!</definedName>
    <definedName name="aaaa" localSheetId="3">#REF!</definedName>
    <definedName name="aaaa" localSheetId="31">#REF!</definedName>
    <definedName name="aaaa" localSheetId="32">#REF!</definedName>
    <definedName name="aaaa" localSheetId="34">#REF!</definedName>
    <definedName name="aaaa" localSheetId="28">#REF!</definedName>
    <definedName name="aaaa" localSheetId="39">#REF!</definedName>
    <definedName name="aaaa" localSheetId="30">#REF!</definedName>
    <definedName name="aaaa" localSheetId="4">#REF!</definedName>
    <definedName name="aaaa" localSheetId="40">#REF!</definedName>
    <definedName name="aaaa" localSheetId="5">#REF!</definedName>
    <definedName name="aaaa" localSheetId="6">#REF!</definedName>
    <definedName name="aaaa" localSheetId="7">#REF!</definedName>
    <definedName name="aaaa" localSheetId="8">#REF!</definedName>
    <definedName name="aaaa" localSheetId="9">#REF!</definedName>
    <definedName name="aaaa" localSheetId="10">#REF!</definedName>
    <definedName name="aaaa" localSheetId="33">#REF!</definedName>
    <definedName name="aaaa">#REF!</definedName>
    <definedName name="áááá" localSheetId="11">#REF!</definedName>
    <definedName name="áááá" localSheetId="14">#REF!</definedName>
    <definedName name="áááá" localSheetId="13">#REF!</definedName>
    <definedName name="áááá" localSheetId="2">#REF!</definedName>
    <definedName name="áááá" localSheetId="3">#REF!</definedName>
    <definedName name="áááá" localSheetId="31">#REF!</definedName>
    <definedName name="áááá" localSheetId="32">#REF!</definedName>
    <definedName name="áááá" localSheetId="34">#REF!</definedName>
    <definedName name="áááá" localSheetId="28">#REF!</definedName>
    <definedName name="áááá" localSheetId="39">#REF!</definedName>
    <definedName name="áááá" localSheetId="30">#REF!</definedName>
    <definedName name="áááá" localSheetId="4">#REF!</definedName>
    <definedName name="áááá" localSheetId="40">#REF!</definedName>
    <definedName name="áááá" localSheetId="5">#REF!</definedName>
    <definedName name="áááá" localSheetId="6">#REF!</definedName>
    <definedName name="áááá" localSheetId="7">#REF!</definedName>
    <definedName name="áááá" localSheetId="8">#REF!</definedName>
    <definedName name="áááá" localSheetId="9">#REF!</definedName>
    <definedName name="áááá" localSheetId="10">#REF!</definedName>
    <definedName name="áááá" localSheetId="33">#REF!</definedName>
    <definedName name="áááá">#REF!</definedName>
    <definedName name="aaaaa" localSheetId="11">#REF!</definedName>
    <definedName name="aaaaa" localSheetId="14">#REF!</definedName>
    <definedName name="aaaaa" localSheetId="13">#REF!</definedName>
    <definedName name="aaaaa" localSheetId="2">#REF!</definedName>
    <definedName name="aaaaa" localSheetId="3">#REF!</definedName>
    <definedName name="aaaaa" localSheetId="31">#REF!</definedName>
    <definedName name="aaaaa" localSheetId="32">#REF!</definedName>
    <definedName name="aaaaa" localSheetId="34">#REF!</definedName>
    <definedName name="aaaaa" localSheetId="28">#REF!</definedName>
    <definedName name="aaaaa" localSheetId="39">#REF!</definedName>
    <definedName name="aaaaa" localSheetId="30">#REF!</definedName>
    <definedName name="aaaaa" localSheetId="4">#REF!</definedName>
    <definedName name="aaaaa" localSheetId="40">#REF!</definedName>
    <definedName name="aaaaa" localSheetId="5">#REF!</definedName>
    <definedName name="aaaaa" localSheetId="6">#REF!</definedName>
    <definedName name="aaaaa" localSheetId="7">#REF!</definedName>
    <definedName name="aaaaa" localSheetId="8">#REF!</definedName>
    <definedName name="aaaaa" localSheetId="9">#REF!</definedName>
    <definedName name="aaaaa" localSheetId="10">#REF!</definedName>
    <definedName name="aaaaa" localSheetId="33">#REF!</definedName>
    <definedName name="aaaaa">#REF!</definedName>
    <definedName name="ááááá" localSheetId="11">#REF!</definedName>
    <definedName name="ááááá" localSheetId="14">#REF!</definedName>
    <definedName name="ááááá" localSheetId="13">#REF!</definedName>
    <definedName name="ááááá" localSheetId="2">#REF!</definedName>
    <definedName name="ááááá" localSheetId="3">#REF!</definedName>
    <definedName name="ááááá" localSheetId="31">#REF!</definedName>
    <definedName name="ááááá" localSheetId="32">#REF!</definedName>
    <definedName name="ááááá" localSheetId="34">#REF!</definedName>
    <definedName name="ááááá" localSheetId="28">#REF!</definedName>
    <definedName name="ááááá" localSheetId="39">#REF!</definedName>
    <definedName name="ááááá" localSheetId="30">#REF!</definedName>
    <definedName name="ááááá" localSheetId="4">#REF!</definedName>
    <definedName name="ááááá" localSheetId="40">#REF!</definedName>
    <definedName name="ááááá" localSheetId="5">#REF!</definedName>
    <definedName name="ááááá" localSheetId="6">#REF!</definedName>
    <definedName name="ááááá" localSheetId="7">#REF!</definedName>
    <definedName name="ááááá" localSheetId="8">#REF!</definedName>
    <definedName name="ááááá" localSheetId="9">#REF!</definedName>
    <definedName name="ááááá" localSheetId="10">#REF!</definedName>
    <definedName name="ááááá" localSheetId="33">#REF!</definedName>
    <definedName name="ááááá">#REF!</definedName>
    <definedName name="aaaaaa" localSheetId="11">#REF!</definedName>
    <definedName name="aaaaaa" localSheetId="14">#REF!</definedName>
    <definedName name="aaaaaa" localSheetId="13">#REF!</definedName>
    <definedName name="aaaaaa" localSheetId="2">#REF!</definedName>
    <definedName name="aaaaaa" localSheetId="3">#REF!</definedName>
    <definedName name="aaaaaa" localSheetId="31">#REF!</definedName>
    <definedName name="aaaaaa" localSheetId="32">#REF!</definedName>
    <definedName name="aaaaaa" localSheetId="34">#REF!</definedName>
    <definedName name="aaaaaa" localSheetId="28">#REF!</definedName>
    <definedName name="aaaaaa" localSheetId="39">#REF!</definedName>
    <definedName name="aaaaaa" localSheetId="30">#REF!</definedName>
    <definedName name="aaaaaa" localSheetId="4">#REF!</definedName>
    <definedName name="aaaaaa" localSheetId="40">#REF!</definedName>
    <definedName name="aaaaaa" localSheetId="5">#REF!</definedName>
    <definedName name="aaaaaa" localSheetId="6">#REF!</definedName>
    <definedName name="aaaaaa" localSheetId="7">#REF!</definedName>
    <definedName name="aaaaaa" localSheetId="8">#REF!</definedName>
    <definedName name="aaaaaa" localSheetId="9">#REF!</definedName>
    <definedName name="aaaaaa" localSheetId="10">#REF!</definedName>
    <definedName name="aaaaaa" localSheetId="33">#REF!</definedName>
    <definedName name="aaaaaa">#REF!</definedName>
    <definedName name="áááááá" localSheetId="11">#REF!</definedName>
    <definedName name="áááááá" localSheetId="14">#REF!</definedName>
    <definedName name="áááááá" localSheetId="13">#REF!</definedName>
    <definedName name="áááááá" localSheetId="2">#REF!</definedName>
    <definedName name="áááááá" localSheetId="3">#REF!</definedName>
    <definedName name="áááááá" localSheetId="31">#REF!</definedName>
    <definedName name="áááááá" localSheetId="32">#REF!</definedName>
    <definedName name="áááááá" localSheetId="34">#REF!</definedName>
    <definedName name="áááááá" localSheetId="28">#REF!</definedName>
    <definedName name="áááááá" localSheetId="39">#REF!</definedName>
    <definedName name="áááááá" localSheetId="30">#REF!</definedName>
    <definedName name="áááááá" localSheetId="4">#REF!</definedName>
    <definedName name="áááááá" localSheetId="40">#REF!</definedName>
    <definedName name="áááááá" localSheetId="5">#REF!</definedName>
    <definedName name="áááááá" localSheetId="6">#REF!</definedName>
    <definedName name="áááááá" localSheetId="7">#REF!</definedName>
    <definedName name="áááááá" localSheetId="8">#REF!</definedName>
    <definedName name="áááááá" localSheetId="9">#REF!</definedName>
    <definedName name="áááááá" localSheetId="10">#REF!</definedName>
    <definedName name="áááááá" localSheetId="33">#REF!</definedName>
    <definedName name="áááááá">#REF!</definedName>
    <definedName name="aaaaaaaa" localSheetId="11">#REF!</definedName>
    <definedName name="aaaaaaaa" localSheetId="14">#REF!</definedName>
    <definedName name="aaaaaaaa" localSheetId="13">#REF!</definedName>
    <definedName name="aaaaaaaa" localSheetId="2">#REF!</definedName>
    <definedName name="aaaaaaaa" localSheetId="3">#REF!</definedName>
    <definedName name="aaaaaaaa" localSheetId="31">#REF!</definedName>
    <definedName name="aaaaaaaa" localSheetId="32">#REF!</definedName>
    <definedName name="aaaaaaaa" localSheetId="34">#REF!</definedName>
    <definedName name="aaaaaaaa" localSheetId="28">#REF!</definedName>
    <definedName name="aaaaaaaa" localSheetId="39">#REF!</definedName>
    <definedName name="aaaaaaaa" localSheetId="30">#REF!</definedName>
    <definedName name="aaaaaaaa" localSheetId="4">#REF!</definedName>
    <definedName name="aaaaaaaa" localSheetId="40">#REF!</definedName>
    <definedName name="aaaaaaaa" localSheetId="5">#REF!</definedName>
    <definedName name="aaaaaaaa" localSheetId="6">#REF!</definedName>
    <definedName name="aaaaaaaa" localSheetId="7">#REF!</definedName>
    <definedName name="aaaaaaaa" localSheetId="8">#REF!</definedName>
    <definedName name="aaaaaaaa" localSheetId="9">#REF!</definedName>
    <definedName name="aaaaaaaa" localSheetId="10">#REF!</definedName>
    <definedName name="aaaaaaaa" localSheetId="33">#REF!</definedName>
    <definedName name="aaaaaaaa">#REF!</definedName>
    <definedName name="áááááááá" localSheetId="11">#REF!</definedName>
    <definedName name="áááááááá" localSheetId="14">#REF!</definedName>
    <definedName name="áááááááá" localSheetId="13">#REF!</definedName>
    <definedName name="áááááááá" localSheetId="2">#REF!</definedName>
    <definedName name="áááááááá" localSheetId="3">#REF!</definedName>
    <definedName name="áááááááá" localSheetId="31">#REF!</definedName>
    <definedName name="áááááááá" localSheetId="32">#REF!</definedName>
    <definedName name="áááááááá" localSheetId="34">#REF!</definedName>
    <definedName name="áááááááá" localSheetId="28">#REF!</definedName>
    <definedName name="áááááááá" localSheetId="39">#REF!</definedName>
    <definedName name="áááááááá" localSheetId="30">#REF!</definedName>
    <definedName name="áááááááá" localSheetId="4">#REF!</definedName>
    <definedName name="áááááááá" localSheetId="40">#REF!</definedName>
    <definedName name="áááááááá" localSheetId="5">#REF!</definedName>
    <definedName name="áááááááá" localSheetId="6">#REF!</definedName>
    <definedName name="áááááááá" localSheetId="7">#REF!</definedName>
    <definedName name="áááááááá" localSheetId="8">#REF!</definedName>
    <definedName name="áááááááá" localSheetId="9">#REF!</definedName>
    <definedName name="áááááááá" localSheetId="10">#REF!</definedName>
    <definedName name="áááááááá" localSheetId="33">#REF!</definedName>
    <definedName name="áááááááá">#REF!</definedName>
    <definedName name="aaaaaaaaa" localSheetId="11">#REF!</definedName>
    <definedName name="aaaaaaaaa" localSheetId="14">#REF!</definedName>
    <definedName name="aaaaaaaaa" localSheetId="13">#REF!</definedName>
    <definedName name="aaaaaaaaa" localSheetId="2">#REF!</definedName>
    <definedName name="aaaaaaaaa" localSheetId="3">#REF!</definedName>
    <definedName name="aaaaaaaaa" localSheetId="31">#REF!</definedName>
    <definedName name="aaaaaaaaa" localSheetId="32">#REF!</definedName>
    <definedName name="aaaaaaaaa" localSheetId="34">#REF!</definedName>
    <definedName name="aaaaaaaaa" localSheetId="28">#REF!</definedName>
    <definedName name="aaaaaaaaa" localSheetId="39">#REF!</definedName>
    <definedName name="aaaaaaaaa" localSheetId="30">#REF!</definedName>
    <definedName name="aaaaaaaaa" localSheetId="4">#REF!</definedName>
    <definedName name="aaaaaaaaa" localSheetId="40">#REF!</definedName>
    <definedName name="aaaaaaaaa" localSheetId="5">#REF!</definedName>
    <definedName name="aaaaaaaaa" localSheetId="6">#REF!</definedName>
    <definedName name="aaaaaaaaa" localSheetId="7">#REF!</definedName>
    <definedName name="aaaaaaaaa" localSheetId="8">#REF!</definedName>
    <definedName name="aaaaaaaaa" localSheetId="9">#REF!</definedName>
    <definedName name="aaaaaaaaa" localSheetId="10">#REF!</definedName>
    <definedName name="aaaaaaaaa" localSheetId="33">#REF!</definedName>
    <definedName name="aaaaaaaaa">#REF!</definedName>
    <definedName name="ááááááááá" localSheetId="11">#REF!</definedName>
    <definedName name="ááááááááá" localSheetId="14">#REF!</definedName>
    <definedName name="ááááááááá" localSheetId="13">#REF!</definedName>
    <definedName name="ááááááááá" localSheetId="2">#REF!</definedName>
    <definedName name="ááááááááá" localSheetId="3">#REF!</definedName>
    <definedName name="ááááááááá" localSheetId="31">#REF!</definedName>
    <definedName name="ááááááááá" localSheetId="32">#REF!</definedName>
    <definedName name="ááááááááá" localSheetId="34">#REF!</definedName>
    <definedName name="ááááááááá" localSheetId="28">#REF!</definedName>
    <definedName name="ááááááááá" localSheetId="39">#REF!</definedName>
    <definedName name="ááááááááá" localSheetId="30">#REF!</definedName>
    <definedName name="ááááááááá" localSheetId="4">#REF!</definedName>
    <definedName name="ááááááááá" localSheetId="40">#REF!</definedName>
    <definedName name="ááááááááá" localSheetId="5">#REF!</definedName>
    <definedName name="ááááááááá" localSheetId="6">#REF!</definedName>
    <definedName name="ááááááááá" localSheetId="7">#REF!</definedName>
    <definedName name="ááááááááá" localSheetId="8">#REF!</definedName>
    <definedName name="ááááááááá" localSheetId="9">#REF!</definedName>
    <definedName name="ááááááááá" localSheetId="10">#REF!</definedName>
    <definedName name="ááááááááá" localSheetId="33">#REF!</definedName>
    <definedName name="ááááááááá">#REF!</definedName>
    <definedName name="aaaaaaaaaaa" localSheetId="11">#REF!</definedName>
    <definedName name="aaaaaaaaaaa" localSheetId="14">#REF!</definedName>
    <definedName name="aaaaaaaaaaa" localSheetId="13">#REF!</definedName>
    <definedName name="aaaaaaaaaaa" localSheetId="2">#REF!</definedName>
    <definedName name="aaaaaaaaaaa" localSheetId="3">#REF!</definedName>
    <definedName name="aaaaaaaaaaa" localSheetId="31">#REF!</definedName>
    <definedName name="aaaaaaaaaaa" localSheetId="32">#REF!</definedName>
    <definedName name="aaaaaaaaaaa" localSheetId="34">#REF!</definedName>
    <definedName name="aaaaaaaaaaa" localSheetId="28">#REF!</definedName>
    <definedName name="aaaaaaaaaaa" localSheetId="39">#REF!</definedName>
    <definedName name="aaaaaaaaaaa" localSheetId="30">#REF!</definedName>
    <definedName name="aaaaaaaaaaa" localSheetId="4">#REF!</definedName>
    <definedName name="aaaaaaaaaaa" localSheetId="40">#REF!</definedName>
    <definedName name="aaaaaaaaaaa" localSheetId="5">#REF!</definedName>
    <definedName name="aaaaaaaaaaa" localSheetId="6">#REF!</definedName>
    <definedName name="aaaaaaaaaaa" localSheetId="7">#REF!</definedName>
    <definedName name="aaaaaaaaaaa" localSheetId="8">#REF!</definedName>
    <definedName name="aaaaaaaaaaa" localSheetId="9">#REF!</definedName>
    <definedName name="aaaaaaaaaaa" localSheetId="10">#REF!</definedName>
    <definedName name="aaaaaaaaaaa" localSheetId="33">#REF!</definedName>
    <definedName name="aaaaaaaaaaa">#REF!</definedName>
    <definedName name="ááááááááááá" localSheetId="11">#REF!</definedName>
    <definedName name="ááááááááááá" localSheetId="14">#REF!</definedName>
    <definedName name="ááááááááááá" localSheetId="13">#REF!</definedName>
    <definedName name="ááááááááááá" localSheetId="2">#REF!</definedName>
    <definedName name="ááááááááááá" localSheetId="3">#REF!</definedName>
    <definedName name="ááááááááááá" localSheetId="31">#REF!</definedName>
    <definedName name="ááááááááááá" localSheetId="32">#REF!</definedName>
    <definedName name="ááááááááááá" localSheetId="34">#REF!</definedName>
    <definedName name="ááááááááááá" localSheetId="28">#REF!</definedName>
    <definedName name="ááááááááááá" localSheetId="39">#REF!</definedName>
    <definedName name="ááááááááááá" localSheetId="30">#REF!</definedName>
    <definedName name="ááááááááááá" localSheetId="4">#REF!</definedName>
    <definedName name="ááááááááááá" localSheetId="40">#REF!</definedName>
    <definedName name="ááááááááááá" localSheetId="5">#REF!</definedName>
    <definedName name="ááááááááááá" localSheetId="6">#REF!</definedName>
    <definedName name="ááááááááááá" localSheetId="7">#REF!</definedName>
    <definedName name="ááááááááááá" localSheetId="8">#REF!</definedName>
    <definedName name="ááááááááááá" localSheetId="9">#REF!</definedName>
    <definedName name="ááááááááááá" localSheetId="10">#REF!</definedName>
    <definedName name="ááááááááááá" localSheetId="33">#REF!</definedName>
    <definedName name="ááááááááááá">#REF!</definedName>
    <definedName name="ááááááááááááááá" localSheetId="11">#REF!</definedName>
    <definedName name="ááááááááááááááá" localSheetId="14">#REF!</definedName>
    <definedName name="ááááááááááááááá" localSheetId="13">#REF!</definedName>
    <definedName name="ááááááááááááááá" localSheetId="2">#REF!</definedName>
    <definedName name="ááááááááááááááá" localSheetId="3">#REF!</definedName>
    <definedName name="ááááááááááááááá" localSheetId="31">#REF!</definedName>
    <definedName name="ááááááááááááááá" localSheetId="32">#REF!</definedName>
    <definedName name="ááááááááááááááá" localSheetId="34">#REF!</definedName>
    <definedName name="ááááááááááááááá" localSheetId="28">#REF!</definedName>
    <definedName name="ááááááááááááááá" localSheetId="39">#REF!</definedName>
    <definedName name="ááááááááááááááá" localSheetId="30">#REF!</definedName>
    <definedName name="ááááááááááááááá" localSheetId="4">#REF!</definedName>
    <definedName name="ááááááááááááááá" localSheetId="40">#REF!</definedName>
    <definedName name="ááááááááááááááá" localSheetId="5">#REF!</definedName>
    <definedName name="ááááááááááááááá" localSheetId="6">#REF!</definedName>
    <definedName name="ááááááááááááááá" localSheetId="7">#REF!</definedName>
    <definedName name="ááááááááááááááá" localSheetId="8">#REF!</definedName>
    <definedName name="ááááááááááááááá" localSheetId="9">#REF!</definedName>
    <definedName name="ááááááááááááááá" localSheetId="10">#REF!</definedName>
    <definedName name="ááááááááááááááá" localSheetId="33">#REF!</definedName>
    <definedName name="ááááááááááááááá">#REF!</definedName>
    <definedName name="áááááááááááááááááá" localSheetId="11">#REF!</definedName>
    <definedName name="áááááááááááááááááá" localSheetId="14">#REF!</definedName>
    <definedName name="áááááááááááááááááá" localSheetId="13">#REF!</definedName>
    <definedName name="áááááááááááááááááá" localSheetId="2">#REF!</definedName>
    <definedName name="áááááááááááááááááá" localSheetId="3">#REF!</definedName>
    <definedName name="áááááááááááááááááá" localSheetId="31">#REF!</definedName>
    <definedName name="áááááááááááááááááá" localSheetId="32">#REF!</definedName>
    <definedName name="áááááááááááááááááá" localSheetId="34">#REF!</definedName>
    <definedName name="áááááááááááááááááá" localSheetId="28">#REF!</definedName>
    <definedName name="áááááááááááááááááá" localSheetId="39">#REF!</definedName>
    <definedName name="áááááááááááááááááá" localSheetId="30">#REF!</definedName>
    <definedName name="áááááááááááááááááá" localSheetId="4">#REF!</definedName>
    <definedName name="áááááááááááááááááá" localSheetId="40">#REF!</definedName>
    <definedName name="áááááááááááááááááá" localSheetId="5">#REF!</definedName>
    <definedName name="áááááááááááááááááá" localSheetId="6">#REF!</definedName>
    <definedName name="áááááááááááááááááá" localSheetId="7">#REF!</definedName>
    <definedName name="áááááááááááááááááá" localSheetId="8">#REF!</definedName>
    <definedName name="áááááááááááááááááá" localSheetId="9">#REF!</definedName>
    <definedName name="áááááááááááááááááá" localSheetId="10">#REF!</definedName>
    <definedName name="áááááááááááááááááá" localSheetId="33">#REF!</definedName>
    <definedName name="áááááááááááááááááá">#REF!</definedName>
    <definedName name="aaaaaaaaaaaaaaaaaaa" localSheetId="11">#REF!</definedName>
    <definedName name="aaaaaaaaaaaaaaaaaaa" localSheetId="14">#REF!</definedName>
    <definedName name="aaaaaaaaaaaaaaaaaaa" localSheetId="13">#REF!</definedName>
    <definedName name="aaaaaaaaaaaaaaaaaaa" localSheetId="2">#REF!</definedName>
    <definedName name="aaaaaaaaaaaaaaaaaaa" localSheetId="3">#REF!</definedName>
    <definedName name="aaaaaaaaaaaaaaaaaaa" localSheetId="31">#REF!</definedName>
    <definedName name="aaaaaaaaaaaaaaaaaaa" localSheetId="32">#REF!</definedName>
    <definedName name="aaaaaaaaaaaaaaaaaaa" localSheetId="34">#REF!</definedName>
    <definedName name="aaaaaaaaaaaaaaaaaaa" localSheetId="28">#REF!</definedName>
    <definedName name="aaaaaaaaaaaaaaaaaaa" localSheetId="39">#REF!</definedName>
    <definedName name="aaaaaaaaaaaaaaaaaaa" localSheetId="30">#REF!</definedName>
    <definedName name="aaaaaaaaaaaaaaaaaaa" localSheetId="4">#REF!</definedName>
    <definedName name="aaaaaaaaaaaaaaaaaaa" localSheetId="40">#REF!</definedName>
    <definedName name="aaaaaaaaaaaaaaaaaaa" localSheetId="5">#REF!</definedName>
    <definedName name="aaaaaaaaaaaaaaaaaaa" localSheetId="6">#REF!</definedName>
    <definedName name="aaaaaaaaaaaaaaaaaaa" localSheetId="7">#REF!</definedName>
    <definedName name="aaaaaaaaaaaaaaaaaaa" localSheetId="8">#REF!</definedName>
    <definedName name="aaaaaaaaaaaaaaaaaaa" localSheetId="9">#REF!</definedName>
    <definedName name="aaaaaaaaaaaaaaaaaaa" localSheetId="10">#REF!</definedName>
    <definedName name="aaaaaaaaaaaaaaaaaaa" localSheetId="33">#REF!</definedName>
    <definedName name="aaaaaaaaaaaaaaaaaaa">#REF!</definedName>
    <definedName name="ááááááááááááááááááááááááááá" localSheetId="11">#REF!</definedName>
    <definedName name="ááááááááááááááááááááááááááá" localSheetId="14">#REF!</definedName>
    <definedName name="ááááááááááááááááááááááááááá" localSheetId="13">#REF!</definedName>
    <definedName name="ááááááááááááááááááááááááááá" localSheetId="2">#REF!</definedName>
    <definedName name="ááááááááááááááááááááááááááá" localSheetId="3">#REF!</definedName>
    <definedName name="ááááááááááááááááááááááááááá" localSheetId="31">#REF!</definedName>
    <definedName name="ááááááááááááááááááááááááááá" localSheetId="32">#REF!</definedName>
    <definedName name="ááááááááááááááááááááááááááá" localSheetId="34">#REF!</definedName>
    <definedName name="ááááááááááááááááááááááááááá" localSheetId="28">#REF!</definedName>
    <definedName name="ááááááááááááááááááááááááááá" localSheetId="39">#REF!</definedName>
    <definedName name="ááááááááááááááááááááááááááá" localSheetId="30">#REF!</definedName>
    <definedName name="ááááááááááááááááááááááááááá" localSheetId="4">#REF!</definedName>
    <definedName name="ááááááááááááááááááááááááááá" localSheetId="40">#REF!</definedName>
    <definedName name="ááááááááááááááááááááááááááá" localSheetId="5">#REF!</definedName>
    <definedName name="ááááááááááááááááááááááááááá" localSheetId="6">#REF!</definedName>
    <definedName name="ááááááááááááááááááááááááááá" localSheetId="7">#REF!</definedName>
    <definedName name="ááááááááááááááááááááááááááá" localSheetId="8">#REF!</definedName>
    <definedName name="ááááááááááááááááááááááááááá" localSheetId="9">#REF!</definedName>
    <definedName name="ááááááááááááááááááááááááááá" localSheetId="10">#REF!</definedName>
    <definedName name="ááááááááááááááááááááááááááá" localSheetId="33">#REF!</definedName>
    <definedName name="ááááááááááááááááááááááááááá">#REF!</definedName>
    <definedName name="Áll.norm." localSheetId="11">#REF!</definedName>
    <definedName name="Áll.norm." localSheetId="14">#REF!</definedName>
    <definedName name="Áll.norm." localSheetId="13">#REF!</definedName>
    <definedName name="Áll.norm." localSheetId="2">#REF!</definedName>
    <definedName name="Áll.norm." localSheetId="3">#REF!</definedName>
    <definedName name="Áll.norm." localSheetId="27">#REF!</definedName>
    <definedName name="Áll.norm." localSheetId="31">#REF!</definedName>
    <definedName name="Áll.norm." localSheetId="32">#REF!</definedName>
    <definedName name="Áll.norm." localSheetId="34">#REF!</definedName>
    <definedName name="Áll.norm." localSheetId="28">#REF!</definedName>
    <definedName name="Áll.norm." localSheetId="29">#REF!</definedName>
    <definedName name="Áll.norm." localSheetId="39">#REF!</definedName>
    <definedName name="Áll.norm." localSheetId="30">#REF!</definedName>
    <definedName name="Áll.norm." localSheetId="4">#REF!</definedName>
    <definedName name="Áll.norm." localSheetId="40">#REF!</definedName>
    <definedName name="Áll.norm." localSheetId="41">#REF!</definedName>
    <definedName name="Áll.norm." localSheetId="5">#REF!</definedName>
    <definedName name="Áll.norm." localSheetId="6">#REF!</definedName>
    <definedName name="Áll.norm." localSheetId="7">#REF!</definedName>
    <definedName name="Áll.norm." localSheetId="8">#REF!</definedName>
    <definedName name="Áll.norm." localSheetId="9">#REF!</definedName>
    <definedName name="Áll.norm." localSheetId="10">#REF!</definedName>
    <definedName name="Áll.norm." localSheetId="33">#REF!</definedName>
    <definedName name="Áll.norm." localSheetId="0">#N/A</definedName>
    <definedName name="Áll.norm.">#REF!</definedName>
    <definedName name="án" localSheetId="31">#REF!</definedName>
    <definedName name="án" localSheetId="32">#REF!</definedName>
    <definedName name="án" localSheetId="34">#REF!</definedName>
    <definedName name="án">#REF!</definedName>
    <definedName name="Átvett" localSheetId="11">#REF!</definedName>
    <definedName name="Átvett" localSheetId="14">#REF!</definedName>
    <definedName name="Átvett" localSheetId="13">#REF!</definedName>
    <definedName name="Átvett" localSheetId="2">#REF!</definedName>
    <definedName name="Átvett" localSheetId="3">#REF!</definedName>
    <definedName name="Átvett" localSheetId="27">#REF!</definedName>
    <definedName name="Átvett" localSheetId="31">#REF!</definedName>
    <definedName name="Átvett" localSheetId="32">#REF!</definedName>
    <definedName name="Átvett" localSheetId="34">#REF!</definedName>
    <definedName name="Átvett" localSheetId="28">#REF!</definedName>
    <definedName name="Átvett" localSheetId="29">#REF!</definedName>
    <definedName name="Átvett" localSheetId="39">#REF!</definedName>
    <definedName name="Átvett" localSheetId="30">#REF!</definedName>
    <definedName name="Átvett" localSheetId="4">#REF!</definedName>
    <definedName name="Átvett" localSheetId="40">#REF!</definedName>
    <definedName name="Átvett" localSheetId="41">#REF!</definedName>
    <definedName name="Átvett" localSheetId="5">#REF!</definedName>
    <definedName name="Átvett" localSheetId="6">#REF!</definedName>
    <definedName name="Átvett" localSheetId="7">#REF!</definedName>
    <definedName name="Átvett" localSheetId="8">#REF!</definedName>
    <definedName name="Átvett" localSheetId="9">#REF!</definedName>
    <definedName name="Átvett" localSheetId="10">#REF!</definedName>
    <definedName name="Átvett" localSheetId="33">#REF!</definedName>
    <definedName name="Átvett" localSheetId="0">#N/A</definedName>
    <definedName name="Átvett">#REF!</definedName>
    <definedName name="áv" localSheetId="31">#REF!</definedName>
    <definedName name="áv" localSheetId="32">#REF!</definedName>
    <definedName name="áv" localSheetId="34">#REF!</definedName>
    <definedName name="áv">#REF!</definedName>
    <definedName name="Bemutatás" localSheetId="11">#REF!</definedName>
    <definedName name="Bemutatás" localSheetId="14">#REF!</definedName>
    <definedName name="Bemutatás" localSheetId="13">#REF!</definedName>
    <definedName name="Bemutatás" localSheetId="2">#REF!</definedName>
    <definedName name="Bemutatás" localSheetId="3">#REF!</definedName>
    <definedName name="Bemutatás" localSheetId="27">#REF!</definedName>
    <definedName name="Bemutatás" localSheetId="31">#REF!</definedName>
    <definedName name="Bemutatás" localSheetId="32">#REF!</definedName>
    <definedName name="Bemutatás" localSheetId="34">#REF!</definedName>
    <definedName name="Bemutatás" localSheetId="28">#REF!</definedName>
    <definedName name="Bemutatás" localSheetId="29">#REF!</definedName>
    <definedName name="Bemutatás" localSheetId="39">#REF!</definedName>
    <definedName name="Bemutatás" localSheetId="30">#REF!</definedName>
    <definedName name="Bemutatás" localSheetId="4">#REF!</definedName>
    <definedName name="Bemutatás" localSheetId="40">#REF!</definedName>
    <definedName name="Bemutatás" localSheetId="41">#REF!</definedName>
    <definedName name="Bemutatás" localSheetId="5">#REF!</definedName>
    <definedName name="Bemutatás" localSheetId="6">#REF!</definedName>
    <definedName name="Bemutatás" localSheetId="7">#REF!</definedName>
    <definedName name="Bemutatás" localSheetId="8">#REF!</definedName>
    <definedName name="Bemutatás" localSheetId="9">#REF!</definedName>
    <definedName name="Bemutatás" localSheetId="10">#REF!</definedName>
    <definedName name="Bemutatás" localSheetId="33">#REF!</definedName>
    <definedName name="Bemutatás" localSheetId="0">#REF!</definedName>
    <definedName name="Bemutatás">#REF!</definedName>
    <definedName name="bm" localSheetId="31">#REF!</definedName>
    <definedName name="bm" localSheetId="32">#REF!</definedName>
    <definedName name="bm" localSheetId="34">#REF!</definedName>
    <definedName name="bm">#REF!</definedName>
    <definedName name="civilek" localSheetId="13">#REF!</definedName>
    <definedName name="civilek" localSheetId="31">#REF!</definedName>
    <definedName name="civilek" localSheetId="32">#REF!</definedName>
    <definedName name="civilek" localSheetId="34">#REF!</definedName>
    <definedName name="civilek" localSheetId="28">#REF!</definedName>
    <definedName name="civilek" localSheetId="39">#REF!</definedName>
    <definedName name="civilek" localSheetId="30">#REF!</definedName>
    <definedName name="civilek" localSheetId="40">#REF!</definedName>
    <definedName name="civilek" localSheetId="5">#REF!</definedName>
    <definedName name="civilek" localSheetId="8">#REF!</definedName>
    <definedName name="civilek" localSheetId="9">#REF!</definedName>
    <definedName name="civilek" localSheetId="33">#REF!</definedName>
    <definedName name="civilek">#REF!</definedName>
    <definedName name="css" localSheetId="31">#REF!</definedName>
    <definedName name="css" localSheetId="32">#REF!</definedName>
    <definedName name="css" localSheetId="34">#REF!</definedName>
    <definedName name="css">#REF!</definedName>
    <definedName name="css_k">[1]Családsegítés!$C$27:$C$86</definedName>
    <definedName name="css_k_" localSheetId="31">#REF!</definedName>
    <definedName name="css_k_" localSheetId="32">#REF!</definedName>
    <definedName name="css_k_" localSheetId="34">#REF!</definedName>
    <definedName name="css_k_">#REF!</definedName>
    <definedName name="ek">[2]PolgármesteriHiv_szakf__3_m__!$A$1:$E$31</definedName>
    <definedName name="elk" localSheetId="13">#REF!</definedName>
    <definedName name="elk" localSheetId="31">#REF!</definedName>
    <definedName name="elk" localSheetId="32">#REF!</definedName>
    <definedName name="elk" localSheetId="34">#REF!</definedName>
    <definedName name="elk" localSheetId="28">#REF!</definedName>
    <definedName name="elk" localSheetId="39">#REF!</definedName>
    <definedName name="elk" localSheetId="30">#REF!</definedName>
    <definedName name="elk" localSheetId="40">#REF!</definedName>
    <definedName name="elk" localSheetId="5">#REF!</definedName>
    <definedName name="elk" localSheetId="8">#REF!</definedName>
    <definedName name="elk" localSheetId="9">#REF!</definedName>
    <definedName name="elk" localSheetId="33">#REF!</definedName>
    <definedName name="elk">#REF!</definedName>
    <definedName name="elkö" localSheetId="31">#REF!</definedName>
    <definedName name="elkö" localSheetId="32">#REF!</definedName>
    <definedName name="elkö" localSheetId="34">#REF!</definedName>
    <definedName name="elkö">#REF!</definedName>
    <definedName name="elköt" localSheetId="31">#REF!</definedName>
    <definedName name="elköt" localSheetId="32">#REF!</definedName>
    <definedName name="elköt" localSheetId="34">#REF!</definedName>
    <definedName name="elköt">#REF!</definedName>
    <definedName name="elköt." localSheetId="11">#REF!</definedName>
    <definedName name="elköt." localSheetId="14">#REF!</definedName>
    <definedName name="elköt." localSheetId="13">#REF!</definedName>
    <definedName name="elköt." localSheetId="2">#REF!</definedName>
    <definedName name="elköt." localSheetId="3">#REF!</definedName>
    <definedName name="elköt." localSheetId="27">#REF!</definedName>
    <definedName name="elköt." localSheetId="31">#REF!</definedName>
    <definedName name="elköt." localSheetId="32">#REF!</definedName>
    <definedName name="elköt." localSheetId="34">#REF!</definedName>
    <definedName name="elköt." localSheetId="28">#REF!</definedName>
    <definedName name="elköt." localSheetId="29">#REF!</definedName>
    <definedName name="elköt." localSheetId="39">#REF!</definedName>
    <definedName name="elköt." localSheetId="30">#REF!</definedName>
    <definedName name="elköt." localSheetId="4">#REF!</definedName>
    <definedName name="elköt." localSheetId="40">#REF!</definedName>
    <definedName name="elköt." localSheetId="41">#REF!</definedName>
    <definedName name="elköt." localSheetId="5">#REF!</definedName>
    <definedName name="elköt." localSheetId="6">#REF!</definedName>
    <definedName name="elköt." localSheetId="7">#REF!</definedName>
    <definedName name="elköt." localSheetId="8">#REF!</definedName>
    <definedName name="elköt." localSheetId="9">#REF!</definedName>
    <definedName name="elköt." localSheetId="10">#REF!</definedName>
    <definedName name="elköt." localSheetId="33">#REF!</definedName>
    <definedName name="elköt." localSheetId="0">#REF!</definedName>
    <definedName name="elköt.">#REF!</definedName>
    <definedName name="Elkötelezettség" localSheetId="13">[2]PolgármesteriHiv_szakf__3_m__!$A$1:$E$31</definedName>
    <definedName name="Elkötelezettség" localSheetId="34">[2]PolgármesteriHiv_szakf__3_m__!$A$1:$E$31</definedName>
    <definedName name="Elkötelezettség" localSheetId="28">[2]PolgármesteriHiv_szakf__3_m__!$A$1:$E$31</definedName>
    <definedName name="Elkötelezettség" localSheetId="39">[2]PolgármesteriHiv_szakf__3_m__!$A$1:$E$31</definedName>
    <definedName name="Elkötelezettség" localSheetId="30">[2]PolgármesteriHiv_szakf__3_m__!$A$1:$E$31</definedName>
    <definedName name="Elkötelezettség" localSheetId="42">[2]PolgármesteriHiv_szakf__3_m__!$A$1:$E$31</definedName>
    <definedName name="Elkötelezettség" localSheetId="33">[2]PolgármesteriHiv_szakf__3_m__!$A$1:$E$31</definedName>
    <definedName name="Elkötelezettség" localSheetId="0">[2]PolgármesteriHiv_szakf__3_m__!$A$1:$E$31</definedName>
    <definedName name="Elkötelezettség">[2]PolgármesteriHiv_szakf__3_m__!$A$1:$E$31</definedName>
    <definedName name="Elkötelezettségek" localSheetId="11">#REF!</definedName>
    <definedName name="Elkötelezettségek" localSheetId="14">#REF!</definedName>
    <definedName name="Elkötelezettségek" localSheetId="13">#REF!</definedName>
    <definedName name="Elkötelezettségek" localSheetId="2">#REF!</definedName>
    <definedName name="Elkötelezettségek" localSheetId="3">#REF!</definedName>
    <definedName name="Elkötelezettségek" localSheetId="27">#REF!</definedName>
    <definedName name="Elkötelezettségek" localSheetId="31">#REF!</definedName>
    <definedName name="Elkötelezettségek" localSheetId="32">#REF!</definedName>
    <definedName name="Elkötelezettségek" localSheetId="34">#REF!</definedName>
    <definedName name="Elkötelezettségek" localSheetId="28">#REF!</definedName>
    <definedName name="Elkötelezettségek" localSheetId="29">#REF!</definedName>
    <definedName name="Elkötelezettségek" localSheetId="39">#REF!</definedName>
    <definedName name="Elkötelezettségek" localSheetId="30">#REF!</definedName>
    <definedName name="Elkötelezettségek" localSheetId="4">#REF!</definedName>
    <definedName name="Elkötelezettségek" localSheetId="40">#REF!</definedName>
    <definedName name="Elkötelezettségek" localSheetId="41">#REF!</definedName>
    <definedName name="Elkötelezettségek" localSheetId="5">#REF!</definedName>
    <definedName name="Elkötelezettségek" localSheetId="6">#REF!</definedName>
    <definedName name="Elkötelezettségek" localSheetId="7">#REF!</definedName>
    <definedName name="Elkötelezettségek" localSheetId="8">#REF!</definedName>
    <definedName name="Elkötelezettségek" localSheetId="9">#REF!</definedName>
    <definedName name="Elkötelezettségek" localSheetId="10">#REF!</definedName>
    <definedName name="Elkötelezettségek" localSheetId="33">#REF!</definedName>
    <definedName name="Elkötelezettségek" localSheetId="0">#REF!</definedName>
    <definedName name="Elkötelezettségek">#REF!</definedName>
    <definedName name="fce">[3]PolgármesteriHiv_szakf__3_m__!$A$1:$E$31</definedName>
    <definedName name="fe" localSheetId="31">#REF!</definedName>
    <definedName name="fe" localSheetId="32">#REF!</definedName>
    <definedName name="fe" localSheetId="34">#REF!</definedName>
    <definedName name="fe">#REF!</definedName>
    <definedName name="fee" localSheetId="31">#REF!</definedName>
    <definedName name="fee" localSheetId="32">#REF!</definedName>
    <definedName name="fee" localSheetId="34">#REF!</definedName>
    <definedName name="fee">#REF!</definedName>
    <definedName name="Fejl.c.elköt." localSheetId="13">[3]PolgármesteriHiv_szakf__3_m__!$A$1:$E$31</definedName>
    <definedName name="Fejl.c.elköt." localSheetId="34">[3]PolgármesteriHiv_szakf__3_m__!$A$1:$E$31</definedName>
    <definedName name="Fejl.c.elköt." localSheetId="28">[3]PolgármesteriHiv_szakf__3_m__!$A$1:$E$31</definedName>
    <definedName name="Fejl.c.elköt." localSheetId="39">[3]PolgármesteriHiv_szakf__3_m__!$A$1:$E$31</definedName>
    <definedName name="Fejl.c.elköt." localSheetId="30">[3]PolgármesteriHiv_szakf__3_m__!$A$1:$E$31</definedName>
    <definedName name="Fejl.c.elköt." localSheetId="42">[3]PolgármesteriHiv_szakf__3_m__!$A$1:$E$31</definedName>
    <definedName name="Fejl.c.elköt." localSheetId="33">[3]PolgármesteriHiv_szakf__3_m__!$A$1:$E$31</definedName>
    <definedName name="Fejl.c.elköt." localSheetId="0">[3]PolgármesteriHiv_szakf__3_m__!$A$1:$E$31</definedName>
    <definedName name="Fejl.c.elköt.">[3]PolgármesteriHiv_szakf__3_m__!$A$1:$E$31</definedName>
    <definedName name="Fejl.elköt." localSheetId="11">#REF!</definedName>
    <definedName name="Fejl.elköt." localSheetId="14">#REF!</definedName>
    <definedName name="Fejl.elköt." localSheetId="13">#REF!</definedName>
    <definedName name="Fejl.elköt." localSheetId="2">#REF!</definedName>
    <definedName name="Fejl.elköt." localSheetId="3">#REF!</definedName>
    <definedName name="Fejl.elköt." localSheetId="27">#REF!</definedName>
    <definedName name="Fejl.elköt." localSheetId="31">#REF!</definedName>
    <definedName name="Fejl.elköt." localSheetId="32">#REF!</definedName>
    <definedName name="Fejl.elköt." localSheetId="34">#REF!</definedName>
    <definedName name="Fejl.elköt." localSheetId="28">#REF!</definedName>
    <definedName name="Fejl.elköt." localSheetId="29">#REF!</definedName>
    <definedName name="Fejl.elköt." localSheetId="39">#REF!</definedName>
    <definedName name="Fejl.elköt." localSheetId="30">#REF!</definedName>
    <definedName name="Fejl.elköt." localSheetId="4">#REF!</definedName>
    <definedName name="Fejl.elköt." localSheetId="40">#REF!</definedName>
    <definedName name="Fejl.elköt." localSheetId="41">#REF!</definedName>
    <definedName name="Fejl.elköt." localSheetId="5">#REF!</definedName>
    <definedName name="Fejl.elköt." localSheetId="6">#REF!</definedName>
    <definedName name="Fejl.elköt." localSheetId="7">#REF!</definedName>
    <definedName name="Fejl.elköt." localSheetId="8">#REF!</definedName>
    <definedName name="Fejl.elköt." localSheetId="9">#REF!</definedName>
    <definedName name="Fejl.elköt." localSheetId="10">#REF!</definedName>
    <definedName name="Fejl.elköt." localSheetId="33">#REF!</definedName>
    <definedName name="Fejl.elköt." localSheetId="0">#N/A</definedName>
    <definedName name="Fejl.elköt.">#REF!</definedName>
    <definedName name="fejlelk" localSheetId="31">#REF!</definedName>
    <definedName name="fejlelk" localSheetId="32">#REF!</definedName>
    <definedName name="fejlelk" localSheetId="34">#REF!</definedName>
    <definedName name="fejlelk">#REF!</definedName>
    <definedName name="fejlesztés" localSheetId="13">#REF!</definedName>
    <definedName name="fejlesztés" localSheetId="31">#REF!</definedName>
    <definedName name="fejlesztés" localSheetId="32">#REF!</definedName>
    <definedName name="fejlesztés" localSheetId="34">#REF!</definedName>
    <definedName name="fejlesztés" localSheetId="28">#REF!</definedName>
    <definedName name="fejlesztés" localSheetId="39">#REF!</definedName>
    <definedName name="fejlesztés" localSheetId="30">#REF!</definedName>
    <definedName name="fejlesztés" localSheetId="40">#REF!</definedName>
    <definedName name="fejlesztés" localSheetId="5">#REF!</definedName>
    <definedName name="fejlesztés" localSheetId="8">#REF!</definedName>
    <definedName name="fejlesztés" localSheetId="9">#REF!</definedName>
    <definedName name="fejlesztés" localSheetId="33">#REF!</definedName>
    <definedName name="fejlesztés">#REF!</definedName>
    <definedName name="Felhaszn.hitel" localSheetId="11">#REF!</definedName>
    <definedName name="Felhaszn.hitel" localSheetId="14">#REF!</definedName>
    <definedName name="Felhaszn.hitel" localSheetId="13">#REF!</definedName>
    <definedName name="Felhaszn.hitel" localSheetId="2">#REF!</definedName>
    <definedName name="Felhaszn.hitel" localSheetId="3">#REF!</definedName>
    <definedName name="Felhaszn.hitel" localSheetId="27">#REF!</definedName>
    <definedName name="Felhaszn.hitel" localSheetId="31">#REF!</definedName>
    <definedName name="Felhaszn.hitel" localSheetId="32">#REF!</definedName>
    <definedName name="Felhaszn.hitel" localSheetId="34">#REF!</definedName>
    <definedName name="Felhaszn.hitel" localSheetId="28">#REF!</definedName>
    <definedName name="Felhaszn.hitel" localSheetId="29">#REF!</definedName>
    <definedName name="Felhaszn.hitel" localSheetId="39">#REF!</definedName>
    <definedName name="Felhaszn.hitel" localSheetId="30">#REF!</definedName>
    <definedName name="Felhaszn.hitel" localSheetId="4">#REF!</definedName>
    <definedName name="Felhaszn.hitel" localSheetId="40">#REF!</definedName>
    <definedName name="Felhaszn.hitel" localSheetId="41">#REF!</definedName>
    <definedName name="Felhaszn.hitel" localSheetId="5">#REF!</definedName>
    <definedName name="Felhaszn.hitel" localSheetId="6">#REF!</definedName>
    <definedName name="Felhaszn.hitel" localSheetId="7">#REF!</definedName>
    <definedName name="Felhaszn.hitel" localSheetId="8">#REF!</definedName>
    <definedName name="Felhaszn.hitel" localSheetId="9">#REF!</definedName>
    <definedName name="Felhaszn.hitel" localSheetId="10">#REF!</definedName>
    <definedName name="Felhaszn.hitel" localSheetId="33">#REF!</definedName>
    <definedName name="Felhaszn.hitel" localSheetId="0">#N/A</definedName>
    <definedName name="Felhaszn.hitel">#REF!</definedName>
    <definedName name="felhh" localSheetId="31">#REF!</definedName>
    <definedName name="felhh" localSheetId="32">#REF!</definedName>
    <definedName name="felhh" localSheetId="34">#REF!</definedName>
    <definedName name="felhh">#REF!</definedName>
    <definedName name="felhhit" localSheetId="31">#REF!</definedName>
    <definedName name="felhhit" localSheetId="32">#REF!</definedName>
    <definedName name="felhhit" localSheetId="34">#REF!</definedName>
    <definedName name="felhhit">#REF!</definedName>
    <definedName name="felk" localSheetId="31">#REF!</definedName>
    <definedName name="felk" localSheetId="32">#REF!</definedName>
    <definedName name="felk" localSheetId="34">#REF!</definedName>
    <definedName name="felk">#REF!</definedName>
    <definedName name="felv" localSheetId="31">#REF!</definedName>
    <definedName name="felv" localSheetId="32">#REF!</definedName>
    <definedName name="felv" localSheetId="34">#REF!</definedName>
    <definedName name="felv">#REF!</definedName>
    <definedName name="felvee" localSheetId="31">#REF!</definedName>
    <definedName name="felvee" localSheetId="32">#REF!</definedName>
    <definedName name="felvee" localSheetId="34">#REF!</definedName>
    <definedName name="felvee">#REF!</definedName>
    <definedName name="felveendő" localSheetId="11">#REF!</definedName>
    <definedName name="felveendő" localSheetId="14">#REF!</definedName>
    <definedName name="felveendő" localSheetId="13">#REF!</definedName>
    <definedName name="felveendő" localSheetId="2">#REF!</definedName>
    <definedName name="felveendő" localSheetId="3">#REF!</definedName>
    <definedName name="felveendő" localSheetId="27">#REF!</definedName>
    <definedName name="felveendő" localSheetId="31">#REF!</definedName>
    <definedName name="felveendő" localSheetId="32">#REF!</definedName>
    <definedName name="felveendő" localSheetId="34">#REF!</definedName>
    <definedName name="felveendő" localSheetId="28">#REF!</definedName>
    <definedName name="felveendő" localSheetId="29">#REF!</definedName>
    <definedName name="felveendő" localSheetId="39">#REF!</definedName>
    <definedName name="felveendő" localSheetId="30">#REF!</definedName>
    <definedName name="felveendő" localSheetId="4">#REF!</definedName>
    <definedName name="felveendő" localSheetId="40">#REF!</definedName>
    <definedName name="felveendő" localSheetId="41">#REF!</definedName>
    <definedName name="felveendő" localSheetId="5">#REF!</definedName>
    <definedName name="felveendő" localSheetId="6">#REF!</definedName>
    <definedName name="felveendő" localSheetId="7">#REF!</definedName>
    <definedName name="felveendő" localSheetId="8">#REF!</definedName>
    <definedName name="felveendő" localSheetId="9">#REF!</definedName>
    <definedName name="felveendő" localSheetId="10">#REF!</definedName>
    <definedName name="felveendő" localSheetId="33">#REF!</definedName>
    <definedName name="felveendő" localSheetId="0">#REF!</definedName>
    <definedName name="felveendő">#REF!</definedName>
    <definedName name="fh" localSheetId="31">#REF!</definedName>
    <definedName name="fh" localSheetId="32">#REF!</definedName>
    <definedName name="fh" localSheetId="34">#REF!</definedName>
    <definedName name="fh">#REF!</definedName>
    <definedName name="Geszbevételek_új" localSheetId="11">#REF!</definedName>
    <definedName name="Geszbevételek_új" localSheetId="13">#REF!</definedName>
    <definedName name="Geszbevételek_új" localSheetId="3">#REF!</definedName>
    <definedName name="Geszbevételek_új" localSheetId="31">#REF!</definedName>
    <definedName name="Geszbevételek_új" localSheetId="32">#REF!</definedName>
    <definedName name="Geszbevételek_új" localSheetId="34">#REF!</definedName>
    <definedName name="Geszbevételek_új" localSheetId="28">#REF!</definedName>
    <definedName name="Geszbevételek_új" localSheetId="39">#REF!</definedName>
    <definedName name="Geszbevételek_új" localSheetId="30">#REF!</definedName>
    <definedName name="Geszbevételek_új" localSheetId="4">#REF!</definedName>
    <definedName name="Geszbevételek_új" localSheetId="40">#REF!</definedName>
    <definedName name="Geszbevételek_új" localSheetId="5">#REF!</definedName>
    <definedName name="Geszbevételek_új" localSheetId="6">#REF!</definedName>
    <definedName name="Geszbevételek_új" localSheetId="7">#REF!</definedName>
    <definedName name="Geszbevételek_új" localSheetId="8">#REF!</definedName>
    <definedName name="Geszbevételek_új" localSheetId="9">#REF!</definedName>
    <definedName name="Geszbevételek_új" localSheetId="10">#REF!</definedName>
    <definedName name="Geszbevételek_új" localSheetId="33">#REF!</definedName>
    <definedName name="Geszbevételek_új">#REF!</definedName>
    <definedName name="gitta" localSheetId="0">Tartalomjegyzék_2017!$A$1:$B$19</definedName>
    <definedName name="gyj" localSheetId="31">#REF!</definedName>
    <definedName name="gyj" localSheetId="32">#REF!</definedName>
    <definedName name="gyj" localSheetId="34">#REF!</definedName>
    <definedName name="gyj">#REF!</definedName>
    <definedName name="gyj_k">[1]Gyermekjóléti!$C$27:$C$86</definedName>
    <definedName name="gyj_k_" localSheetId="31">#REF!</definedName>
    <definedName name="gyj_k_" localSheetId="32">#REF!</definedName>
    <definedName name="gyj_k_" localSheetId="34">#REF!</definedName>
    <definedName name="gyj_k_">#REF!</definedName>
    <definedName name="hit">[4]PolgármesteriHiv_szakf__3_m__!$A$1:$E$31</definedName>
    <definedName name="hitelek" localSheetId="13">[4]PolgármesteriHiv_szakf__3_m__!$A$1:$E$31</definedName>
    <definedName name="hitelek" localSheetId="34">[4]PolgármesteriHiv_szakf__3_m__!$A$1:$E$31</definedName>
    <definedName name="hitelek" localSheetId="28">[4]PolgármesteriHiv_szakf__3_m__!$A$1:$E$31</definedName>
    <definedName name="hitelek" localSheetId="39">[4]PolgármesteriHiv_szakf__3_m__!$A$1:$E$31</definedName>
    <definedName name="hitelek" localSheetId="30">[4]PolgármesteriHiv_szakf__3_m__!$A$1:$E$31</definedName>
    <definedName name="hitelek" localSheetId="42">[4]PolgármesteriHiv_szakf__3_m__!$A$1:$E$31</definedName>
    <definedName name="hitelek" localSheetId="33">[4]PolgármesteriHiv_szakf__3_m__!$A$1:$E$31</definedName>
    <definedName name="hitelek" localSheetId="0">[4]PolgármesteriHiv_szakf__3_m__!$A$1:$E$31</definedName>
    <definedName name="hitelek">[4]PolgármesteriHiv_szakf__3_m__!$A$1:$E$31</definedName>
    <definedName name="Hosszútávú" localSheetId="11">#REF!</definedName>
    <definedName name="Hosszútávú" localSheetId="14">#REF!</definedName>
    <definedName name="Hosszútávú" localSheetId="13">#REF!</definedName>
    <definedName name="Hosszútávú" localSheetId="2">#REF!</definedName>
    <definedName name="Hosszútávú" localSheetId="3">#REF!</definedName>
    <definedName name="Hosszútávú" localSheetId="27">#REF!</definedName>
    <definedName name="Hosszútávú" localSheetId="31">#REF!</definedName>
    <definedName name="Hosszútávú" localSheetId="32">#REF!</definedName>
    <definedName name="Hosszútávú" localSheetId="34">#REF!</definedName>
    <definedName name="Hosszútávú" localSheetId="28">#REF!</definedName>
    <definedName name="Hosszútávú" localSheetId="29">#REF!</definedName>
    <definedName name="Hosszútávú" localSheetId="39">#REF!</definedName>
    <definedName name="Hosszútávú" localSheetId="30">#REF!</definedName>
    <definedName name="Hosszútávú" localSheetId="4">#REF!</definedName>
    <definedName name="Hosszútávú" localSheetId="40">#REF!</definedName>
    <definedName name="Hosszútávú" localSheetId="41">#REF!</definedName>
    <definedName name="Hosszútávú" localSheetId="5">#REF!</definedName>
    <definedName name="Hosszútávú" localSheetId="6">#REF!</definedName>
    <definedName name="Hosszútávú" localSheetId="7">#REF!</definedName>
    <definedName name="Hosszútávú" localSheetId="8">#REF!</definedName>
    <definedName name="Hosszútávú" localSheetId="9">#REF!</definedName>
    <definedName name="Hosszútávú" localSheetId="10">#REF!</definedName>
    <definedName name="Hosszútávú" localSheetId="33">#REF!</definedName>
    <definedName name="Hosszútávú" localSheetId="0">#REF!</definedName>
    <definedName name="Hosszútávú">#REF!</definedName>
    <definedName name="hoszú" localSheetId="31">#REF!</definedName>
    <definedName name="hoszú" localSheetId="32">#REF!</definedName>
    <definedName name="hoszú" localSheetId="34">#REF!</definedName>
    <definedName name="hoszú">#REF!</definedName>
    <definedName name="ht" localSheetId="31">#REF!</definedName>
    <definedName name="ht" localSheetId="32">#REF!</definedName>
    <definedName name="ht" localSheetId="34">#REF!</definedName>
    <definedName name="ht">#REF!</definedName>
    <definedName name="i" localSheetId="11">#REF!</definedName>
    <definedName name="i" localSheetId="14">#REF!</definedName>
    <definedName name="i" localSheetId="13">#REF!</definedName>
    <definedName name="i" localSheetId="2">#REF!</definedName>
    <definedName name="i" localSheetId="3">#REF!</definedName>
    <definedName name="i" localSheetId="31">#REF!</definedName>
    <definedName name="i" localSheetId="32">[5]PolgármesteriHiv_szakf__3_m__!$A$1:$E$31</definedName>
    <definedName name="i" localSheetId="34">[5]PolgármesteriHiv_szakf__3_m__!$A$1:$E$31</definedName>
    <definedName name="i" localSheetId="28">#REF!</definedName>
    <definedName name="i" localSheetId="39">#REF!</definedName>
    <definedName name="i" localSheetId="30">#REF!</definedName>
    <definedName name="i" localSheetId="4">#REF!</definedName>
    <definedName name="i" localSheetId="40">#REF!</definedName>
    <definedName name="i" localSheetId="5">#REF!</definedName>
    <definedName name="i" localSheetId="6">#REF!</definedName>
    <definedName name="i" localSheetId="7">#REF!</definedName>
    <definedName name="i" localSheetId="8">#REF!</definedName>
    <definedName name="i" localSheetId="9">#REF!</definedName>
    <definedName name="i" localSheetId="10">#REF!</definedName>
    <definedName name="i" localSheetId="33">#REF!</definedName>
    <definedName name="i">#REF!</definedName>
    <definedName name="ill" localSheetId="31">#REF!</definedName>
    <definedName name="ill" localSheetId="32">#REF!</definedName>
    <definedName name="ill" localSheetId="34">#REF!</definedName>
    <definedName name="ill">#REF!</definedName>
    <definedName name="illetmény" localSheetId="11">#REF!</definedName>
    <definedName name="illetmény" localSheetId="14">#REF!</definedName>
    <definedName name="illetmény" localSheetId="13">#REF!</definedName>
    <definedName name="illetmény" localSheetId="2">#REF!</definedName>
    <definedName name="illetmény" localSheetId="3">#REF!</definedName>
    <definedName name="illetmény" localSheetId="27">#REF!</definedName>
    <definedName name="illetmény" localSheetId="31">#REF!</definedName>
    <definedName name="illetmény" localSheetId="32">#REF!</definedName>
    <definedName name="illetmény" localSheetId="34">#REF!</definedName>
    <definedName name="illetmény" localSheetId="28">#REF!</definedName>
    <definedName name="illetmény" localSheetId="29">#REF!</definedName>
    <definedName name="illetmény" localSheetId="39">#REF!</definedName>
    <definedName name="illetmény" localSheetId="30">#REF!</definedName>
    <definedName name="illetmény" localSheetId="4">#REF!</definedName>
    <definedName name="illetmény" localSheetId="40">#REF!</definedName>
    <definedName name="illetmény" localSheetId="41">#REF!</definedName>
    <definedName name="illetmény" localSheetId="5">#REF!</definedName>
    <definedName name="illetmény" localSheetId="6">#REF!</definedName>
    <definedName name="illetmény" localSheetId="7">#REF!</definedName>
    <definedName name="illetmény" localSheetId="8">#REF!</definedName>
    <definedName name="illetmény" localSheetId="9">#REF!</definedName>
    <definedName name="illetmény" localSheetId="10">#REF!</definedName>
    <definedName name="illetmény" localSheetId="33">#REF!</definedName>
    <definedName name="illetmény" localSheetId="0">#N/A</definedName>
    <definedName name="illetmény">#REF!</definedName>
    <definedName name="indul" localSheetId="13">[5]PolgármesteriHiv_szakf__3_m__!$A$1:$E$31</definedName>
    <definedName name="indul" localSheetId="27">[6]PolgármesteriHiv_szakf__3_m__!$A$1:$E$31</definedName>
    <definedName name="indul" localSheetId="34">[5]PolgármesteriHiv_szakf__3_m__!$A$1:$E$31</definedName>
    <definedName name="indul" localSheetId="28">[5]PolgármesteriHiv_szakf__3_m__!$A$1:$E$31</definedName>
    <definedName name="indul" localSheetId="39">[5]PolgármesteriHiv_szakf__3_m__!$A$1:$E$31</definedName>
    <definedName name="indul" localSheetId="30">[5]PolgármesteriHiv_szakf__3_m__!$A$1:$E$31</definedName>
    <definedName name="indul" localSheetId="42">[5]PolgármesteriHiv_szakf__3_m__!$A$1:$E$31</definedName>
    <definedName name="indul" localSheetId="33">[5]PolgármesteriHiv_szakf__3_m__!$A$1:$E$31</definedName>
    <definedName name="indul" localSheetId="0">#N/A</definedName>
    <definedName name="indul">[5]PolgármesteriHiv_szakf__3_m__!$A$1:$E$31</definedName>
    <definedName name="k" localSheetId="11">#REF!</definedName>
    <definedName name="k" localSheetId="14">#REF!</definedName>
    <definedName name="k" localSheetId="13">#REF!</definedName>
    <definedName name="k" localSheetId="2">#REF!</definedName>
    <definedName name="k" localSheetId="3">#REF!</definedName>
    <definedName name="k" localSheetId="31">#REF!</definedName>
    <definedName name="k" localSheetId="32">#REF!</definedName>
    <definedName name="k" localSheetId="34">#REF!</definedName>
    <definedName name="k" localSheetId="28">#REF!</definedName>
    <definedName name="k" localSheetId="39">#REF!</definedName>
    <definedName name="k" localSheetId="30">#REF!</definedName>
    <definedName name="k" localSheetId="4">#REF!</definedName>
    <definedName name="k" localSheetId="40">#REF!</definedName>
    <definedName name="k" localSheetId="5">#REF!</definedName>
    <definedName name="k" localSheetId="6">#REF!</definedName>
    <definedName name="k" localSheetId="7">#REF!</definedName>
    <definedName name="k" localSheetId="8">#REF!</definedName>
    <definedName name="k" localSheetId="9">#REF!</definedName>
    <definedName name="k" localSheetId="10">#REF!</definedName>
    <definedName name="k" localSheetId="33">#REF!</definedName>
    <definedName name="k">#REF!</definedName>
    <definedName name="kjz" localSheetId="31">#REF!</definedName>
    <definedName name="kjz" localSheetId="32">#REF!</definedName>
    <definedName name="kjz" localSheetId="34">#REF!</definedName>
    <definedName name="kjz">#REF!</definedName>
    <definedName name="kjz_k">[1]körjegyzőség!$C$9:$C$28</definedName>
    <definedName name="kjz_k_" localSheetId="31">#REF!</definedName>
    <definedName name="kjz_k_" localSheetId="32">#REF!</definedName>
    <definedName name="kjz_k_" localSheetId="34">#REF!</definedName>
    <definedName name="kjz_k_">#REF!</definedName>
    <definedName name="kk" localSheetId="31">#REF!</definedName>
    <definedName name="kk" localSheetId="32">#REF!</definedName>
    <definedName name="kk" localSheetId="34">#REF!</definedName>
    <definedName name="kk">#REF!</definedName>
    <definedName name="kkk" localSheetId="31">#REF!</definedName>
    <definedName name="kkk" localSheetId="32">#REF!</definedName>
    <definedName name="kkk" localSheetId="34">#REF!</definedName>
    <definedName name="kkk">#REF!</definedName>
    <definedName name="konsz" localSheetId="11">#REF!</definedName>
    <definedName name="konsz" localSheetId="14">#REF!</definedName>
    <definedName name="konsz" localSheetId="13">#REF!</definedName>
    <definedName name="konsz" localSheetId="2">#REF!</definedName>
    <definedName name="konsz" localSheetId="3">#REF!</definedName>
    <definedName name="konsz" localSheetId="27">#REF!</definedName>
    <definedName name="konsz" localSheetId="31">#REF!</definedName>
    <definedName name="konsz" localSheetId="32">#REF!</definedName>
    <definedName name="konsz" localSheetId="34">#REF!</definedName>
    <definedName name="konsz" localSheetId="28">#REF!</definedName>
    <definedName name="konsz" localSheetId="29">#REF!</definedName>
    <definedName name="konsz" localSheetId="39">#REF!</definedName>
    <definedName name="konsz" localSheetId="30">#REF!</definedName>
    <definedName name="konsz" localSheetId="4">#REF!</definedName>
    <definedName name="konsz" localSheetId="40">#REF!</definedName>
    <definedName name="konsz" localSheetId="41">#REF!</definedName>
    <definedName name="konsz" localSheetId="5">#REF!</definedName>
    <definedName name="konsz" localSheetId="6">#REF!</definedName>
    <definedName name="konsz" localSheetId="7">#REF!</definedName>
    <definedName name="konsz" localSheetId="8">#REF!</definedName>
    <definedName name="konsz" localSheetId="9">#REF!</definedName>
    <definedName name="konsz" localSheetId="10">#REF!</definedName>
    <definedName name="konsz" localSheetId="33">#REF!</definedName>
    <definedName name="konsz" localSheetId="0">#REF!</definedName>
    <definedName name="konsz">#REF!</definedName>
    <definedName name="konsz1" localSheetId="11">#REF!</definedName>
    <definedName name="konsz1" localSheetId="14">#REF!</definedName>
    <definedName name="konsz1" localSheetId="13">#REF!</definedName>
    <definedName name="konsz1" localSheetId="2">#REF!</definedName>
    <definedName name="konsz1" localSheetId="3">#REF!</definedName>
    <definedName name="konsz1" localSheetId="27">#REF!</definedName>
    <definedName name="konsz1" localSheetId="31">#REF!</definedName>
    <definedName name="konsz1" localSheetId="32">#REF!</definedName>
    <definedName name="konsz1" localSheetId="34">#REF!</definedName>
    <definedName name="konsz1" localSheetId="28">#REF!</definedName>
    <definedName name="konsz1" localSheetId="29">#REF!</definedName>
    <definedName name="konsz1" localSheetId="39">#REF!</definedName>
    <definedName name="konsz1" localSheetId="30">#REF!</definedName>
    <definedName name="konsz1" localSheetId="4">#REF!</definedName>
    <definedName name="konsz1" localSheetId="40">#REF!</definedName>
    <definedName name="konsz1" localSheetId="41">#REF!</definedName>
    <definedName name="konsz1" localSheetId="5">#REF!</definedName>
    <definedName name="konsz1" localSheetId="6">#REF!</definedName>
    <definedName name="konsz1" localSheetId="7">#REF!</definedName>
    <definedName name="konsz1" localSheetId="8">#REF!</definedName>
    <definedName name="konsz1" localSheetId="9">#REF!</definedName>
    <definedName name="konsz1" localSheetId="10">#REF!</definedName>
    <definedName name="konsz1" localSheetId="33">#REF!</definedName>
    <definedName name="konsz1" localSheetId="0">#REF!</definedName>
    <definedName name="konsz1">#REF!</definedName>
    <definedName name="konsz2" localSheetId="11">#REF!</definedName>
    <definedName name="konsz2" localSheetId="14">#REF!</definedName>
    <definedName name="konsz2" localSheetId="13">#REF!</definedName>
    <definedName name="konsz2" localSheetId="2">#REF!</definedName>
    <definedName name="konsz2" localSheetId="3">#REF!</definedName>
    <definedName name="konsz2" localSheetId="27">#REF!</definedName>
    <definedName name="konsz2" localSheetId="31">#REF!</definedName>
    <definedName name="konsz2" localSheetId="32">#REF!</definedName>
    <definedName name="konsz2" localSheetId="34">#REF!</definedName>
    <definedName name="konsz2" localSheetId="28">#REF!</definedName>
    <definedName name="konsz2" localSheetId="29">#REF!</definedName>
    <definedName name="konsz2" localSheetId="39">#REF!</definedName>
    <definedName name="konsz2" localSheetId="30">#REF!</definedName>
    <definedName name="konsz2" localSheetId="4">#REF!</definedName>
    <definedName name="konsz2" localSheetId="40">#REF!</definedName>
    <definedName name="konsz2" localSheetId="41">#REF!</definedName>
    <definedName name="konsz2" localSheetId="5">#REF!</definedName>
    <definedName name="konsz2" localSheetId="6">#REF!</definedName>
    <definedName name="konsz2" localSheetId="7">#REF!</definedName>
    <definedName name="konsz2" localSheetId="8">#REF!</definedName>
    <definedName name="konsz2" localSheetId="9">#REF!</definedName>
    <definedName name="konsz2" localSheetId="10">#REF!</definedName>
    <definedName name="konsz2" localSheetId="33">#REF!</definedName>
    <definedName name="konsz2" localSheetId="0">#REF!</definedName>
    <definedName name="konsz2">#REF!</definedName>
    <definedName name="kötv" localSheetId="31">#REF!</definedName>
    <definedName name="kötv" localSheetId="32">#REF!</definedName>
    <definedName name="kötv" localSheetId="34">#REF!</definedName>
    <definedName name="kötv">#REF!</definedName>
    <definedName name="Kötvény" localSheetId="11">#REF!</definedName>
    <definedName name="Kötvény" localSheetId="14">#REF!</definedName>
    <definedName name="Kötvény" localSheetId="13">#REF!</definedName>
    <definedName name="Kötvény" localSheetId="2">#REF!</definedName>
    <definedName name="Kötvény" localSheetId="3">#REF!</definedName>
    <definedName name="Kötvény" localSheetId="27">#REF!</definedName>
    <definedName name="Kötvény" localSheetId="31">#REF!</definedName>
    <definedName name="Kötvény" localSheetId="32">#REF!</definedName>
    <definedName name="Kötvény" localSheetId="34">#REF!</definedName>
    <definedName name="Kötvény" localSheetId="28">#REF!</definedName>
    <definedName name="Kötvény" localSheetId="29">#REF!</definedName>
    <definedName name="Kötvény" localSheetId="39">#REF!</definedName>
    <definedName name="Kötvény" localSheetId="30">#REF!</definedName>
    <definedName name="Kötvény" localSheetId="4">#REF!</definedName>
    <definedName name="Kötvény" localSheetId="40">#REF!</definedName>
    <definedName name="Kötvény" localSheetId="41">#REF!</definedName>
    <definedName name="Kötvény" localSheetId="5">#REF!</definedName>
    <definedName name="Kötvény" localSheetId="6">#REF!</definedName>
    <definedName name="Kötvény" localSheetId="7">#REF!</definedName>
    <definedName name="Kötvény" localSheetId="8">#REF!</definedName>
    <definedName name="Kötvény" localSheetId="9">#REF!</definedName>
    <definedName name="Kötvény" localSheetId="10">#REF!</definedName>
    <definedName name="Kötvény" localSheetId="33">#REF!</definedName>
    <definedName name="Kötvény" localSheetId="0">#REF!</definedName>
    <definedName name="Kötvény">#REF!</definedName>
    <definedName name="Kötvénnyel" localSheetId="13">[4]PolgármesteriHiv_szakf__3_m__!$A$1:$E$31</definedName>
    <definedName name="Kötvénnyel" localSheetId="34">[4]PolgármesteriHiv_szakf__3_m__!$A$1:$E$31</definedName>
    <definedName name="Kötvénnyel" localSheetId="28">[4]PolgármesteriHiv_szakf__3_m__!$A$1:$E$31</definedName>
    <definedName name="Kötvénnyel" localSheetId="39">[4]PolgármesteriHiv_szakf__3_m__!$A$1:$E$31</definedName>
    <definedName name="Kötvénnyel" localSheetId="30">[4]PolgármesteriHiv_szakf__3_m__!$A$1:$E$31</definedName>
    <definedName name="Kötvénnyel" localSheetId="42">[4]PolgármesteriHiv_szakf__3_m__!$A$1:$E$31</definedName>
    <definedName name="Kötvénnyel" localSheetId="33">[4]PolgármesteriHiv_szakf__3_m__!$A$1:$E$31</definedName>
    <definedName name="Kötvénnyel" localSheetId="0">[4]PolgármesteriHiv_szakf__3_m__!$A$1:$E$31</definedName>
    <definedName name="Kötvénnyel">[4]PolgármesteriHiv_szakf__3_m__!$A$1:$E$31</definedName>
    <definedName name="közvet.tám" localSheetId="13">#REF!</definedName>
    <definedName name="közvet.tám" localSheetId="31">#REF!</definedName>
    <definedName name="közvet.tám" localSheetId="32">#REF!</definedName>
    <definedName name="közvet.tám" localSheetId="34">#REF!</definedName>
    <definedName name="közvet.tám" localSheetId="28">#REF!</definedName>
    <definedName name="közvet.tám" localSheetId="39">#REF!</definedName>
    <definedName name="közvet.tám" localSheetId="30">#REF!</definedName>
    <definedName name="közvet.tám" localSheetId="40">#REF!</definedName>
    <definedName name="közvet.tám" localSheetId="42">#REF!</definedName>
    <definedName name="közvet.tám" localSheetId="5">#REF!</definedName>
    <definedName name="közvet.tám" localSheetId="8">#REF!</definedName>
    <definedName name="közvet.tám" localSheetId="9">#REF!</definedName>
    <definedName name="közvet.tám" localSheetId="33">#REF!</definedName>
    <definedName name="közvet.tám">#REF!</definedName>
    <definedName name="kv" localSheetId="31">#REF!</definedName>
    <definedName name="kv" localSheetId="32">#REF!</definedName>
    <definedName name="kv" localSheetId="34">#REF!</definedName>
    <definedName name="kv">#REF!</definedName>
    <definedName name="kvv">[4]PolgármesteriHiv_szakf__3_m__!$A$1:$E$31</definedName>
    <definedName name="l" localSheetId="11">#REF!</definedName>
    <definedName name="l" localSheetId="14">#REF!</definedName>
    <definedName name="l" localSheetId="13">#REF!</definedName>
    <definedName name="l" localSheetId="2">#REF!</definedName>
    <definedName name="l" localSheetId="3">#REF!</definedName>
    <definedName name="l" localSheetId="31">#REF!</definedName>
    <definedName name="l" localSheetId="32">#REF!</definedName>
    <definedName name="l" localSheetId="34">#REF!</definedName>
    <definedName name="l" localSheetId="28">#REF!</definedName>
    <definedName name="l" localSheetId="39">#REF!</definedName>
    <definedName name="l" localSheetId="30">#REF!</definedName>
    <definedName name="l" localSheetId="4">#REF!</definedName>
    <definedName name="l" localSheetId="40">#REF!</definedName>
    <definedName name="l" localSheetId="5">#REF!</definedName>
    <definedName name="l" localSheetId="6">#REF!</definedName>
    <definedName name="l" localSheetId="7">#REF!</definedName>
    <definedName name="l" localSheetId="8">#REF!</definedName>
    <definedName name="l" localSheetId="9">#REF!</definedName>
    <definedName name="l" localSheetId="10">#REF!</definedName>
    <definedName name="l" localSheetId="33">#REF!</definedName>
    <definedName name="l">#REF!</definedName>
    <definedName name="Létszám" localSheetId="13">[5]PolgármesteriHiv_szakf__3_m__!$A$1:$E$31</definedName>
    <definedName name="Létszám" localSheetId="28">[5]PolgármesteriHiv_szakf__3_m__!$A$1:$E$31</definedName>
    <definedName name="Létszám" localSheetId="39">[5]PolgármesteriHiv_szakf__3_m__!$A$1:$E$31</definedName>
    <definedName name="Létszám" localSheetId="42">[5]PolgármesteriHiv_szakf__3_m__!$A$1:$E$31</definedName>
    <definedName name="Létszám" localSheetId="33">[5]PolgármesteriHiv_szakf__3_m__!$A$1:$E$31</definedName>
    <definedName name="Létszám">[5]PolgármesteriHiv_szakf__3_m__!$A$1:$E$31</definedName>
    <definedName name="Ligeti" localSheetId="25">#REF!</definedName>
    <definedName name="Ligeti" localSheetId="31">#REF!</definedName>
    <definedName name="Ligeti" localSheetId="32">#REF!</definedName>
    <definedName name="Ligeti" localSheetId="34">#REF!</definedName>
    <definedName name="Ligeti" localSheetId="39">#REF!</definedName>
    <definedName name="Ligeti" localSheetId="40">#REF!</definedName>
    <definedName name="Ligeti">#REF!</definedName>
    <definedName name="ll" localSheetId="11">#REF!</definedName>
    <definedName name="ll" localSheetId="14">#REF!</definedName>
    <definedName name="ll" localSheetId="13">#REF!</definedName>
    <definedName name="ll" localSheetId="2">#REF!</definedName>
    <definedName name="ll" localSheetId="3">#REF!</definedName>
    <definedName name="ll" localSheetId="31">#REF!</definedName>
    <definedName name="ll" localSheetId="32">#REF!</definedName>
    <definedName name="ll" localSheetId="34">#REF!</definedName>
    <definedName name="ll" localSheetId="28">#REF!</definedName>
    <definedName name="ll" localSheetId="39">#REF!</definedName>
    <definedName name="ll" localSheetId="30">#REF!</definedName>
    <definedName name="ll" localSheetId="4">#REF!</definedName>
    <definedName name="ll" localSheetId="40">#REF!</definedName>
    <definedName name="ll" localSheetId="5">#REF!</definedName>
    <definedName name="ll" localSheetId="6">#REF!</definedName>
    <definedName name="ll" localSheetId="7">#REF!</definedName>
    <definedName name="ll" localSheetId="8">#REF!</definedName>
    <definedName name="ll" localSheetId="9">#REF!</definedName>
    <definedName name="ll" localSheetId="10">#REF!</definedName>
    <definedName name="ll" localSheetId="33">#REF!</definedName>
    <definedName name="ll">#REF!</definedName>
    <definedName name="lll" localSheetId="11">#REF!</definedName>
    <definedName name="lll" localSheetId="14">#REF!</definedName>
    <definedName name="lll" localSheetId="13">#REF!</definedName>
    <definedName name="lll" localSheetId="2">#REF!</definedName>
    <definedName name="lll" localSheetId="3">#REF!</definedName>
    <definedName name="lll" localSheetId="31">#REF!</definedName>
    <definedName name="lll" localSheetId="32">#REF!</definedName>
    <definedName name="lll" localSheetId="34">#REF!</definedName>
    <definedName name="lll" localSheetId="28">#REF!</definedName>
    <definedName name="lll" localSheetId="39">#REF!</definedName>
    <definedName name="lll" localSheetId="30">#REF!</definedName>
    <definedName name="lll" localSheetId="4">#REF!</definedName>
    <definedName name="lll" localSheetId="40">#REF!</definedName>
    <definedName name="lll" localSheetId="5">#REF!</definedName>
    <definedName name="lll" localSheetId="6">#REF!</definedName>
    <definedName name="lll" localSheetId="7">#REF!</definedName>
    <definedName name="lll" localSheetId="8">#REF!</definedName>
    <definedName name="lll" localSheetId="9">#REF!</definedName>
    <definedName name="lll" localSheetId="10">#REF!</definedName>
    <definedName name="lll" localSheetId="33">#REF!</definedName>
    <definedName name="lll">#REF!</definedName>
    <definedName name="llll" localSheetId="11">#REF!</definedName>
    <definedName name="llll" localSheetId="14">#REF!</definedName>
    <definedName name="llll" localSheetId="13">#REF!</definedName>
    <definedName name="llll" localSheetId="2">#REF!</definedName>
    <definedName name="llll" localSheetId="3">#REF!</definedName>
    <definedName name="llll" localSheetId="31">#REF!</definedName>
    <definedName name="llll" localSheetId="32">#REF!</definedName>
    <definedName name="llll" localSheetId="34">#REF!</definedName>
    <definedName name="llll" localSheetId="28">#REF!</definedName>
    <definedName name="llll" localSheetId="39">#REF!</definedName>
    <definedName name="llll" localSheetId="30">#REF!</definedName>
    <definedName name="llll" localSheetId="4">#REF!</definedName>
    <definedName name="llll" localSheetId="40">#REF!</definedName>
    <definedName name="llll" localSheetId="5">#REF!</definedName>
    <definedName name="llll" localSheetId="6">#REF!</definedName>
    <definedName name="llll" localSheetId="7">#REF!</definedName>
    <definedName name="llll" localSheetId="8">#REF!</definedName>
    <definedName name="llll" localSheetId="9">#REF!</definedName>
    <definedName name="llll" localSheetId="10">#REF!</definedName>
    <definedName name="llll" localSheetId="33">#REF!</definedName>
    <definedName name="llll">#REF!</definedName>
    <definedName name="lllll" localSheetId="11">#REF!</definedName>
    <definedName name="lllll" localSheetId="14">#REF!</definedName>
    <definedName name="lllll" localSheetId="13">#REF!</definedName>
    <definedName name="lllll" localSheetId="2">#REF!</definedName>
    <definedName name="lllll" localSheetId="3">#REF!</definedName>
    <definedName name="lllll" localSheetId="31">#REF!</definedName>
    <definedName name="lllll" localSheetId="32">#REF!</definedName>
    <definedName name="lllll" localSheetId="34">#REF!</definedName>
    <definedName name="lllll" localSheetId="28">#REF!</definedName>
    <definedName name="lllll" localSheetId="39">#REF!</definedName>
    <definedName name="lllll" localSheetId="30">#REF!</definedName>
    <definedName name="lllll" localSheetId="4">#REF!</definedName>
    <definedName name="lllll" localSheetId="40">#REF!</definedName>
    <definedName name="lllll" localSheetId="5">#REF!</definedName>
    <definedName name="lllll" localSheetId="6">#REF!</definedName>
    <definedName name="lllll" localSheetId="7">#REF!</definedName>
    <definedName name="lllll" localSheetId="8">#REF!</definedName>
    <definedName name="lllll" localSheetId="9">#REF!</definedName>
    <definedName name="lllll" localSheetId="10">#REF!</definedName>
    <definedName name="lllll" localSheetId="33">#REF!</definedName>
    <definedName name="lllll">#REF!</definedName>
    <definedName name="llllll" localSheetId="11">#REF!</definedName>
    <definedName name="llllll" localSheetId="14">#REF!</definedName>
    <definedName name="llllll" localSheetId="13">#REF!</definedName>
    <definedName name="llllll" localSheetId="2">#REF!</definedName>
    <definedName name="llllll" localSheetId="3">#REF!</definedName>
    <definedName name="llllll" localSheetId="31">#REF!</definedName>
    <definedName name="llllll" localSheetId="32">#REF!</definedName>
    <definedName name="llllll" localSheetId="34">#REF!</definedName>
    <definedName name="llllll" localSheetId="28">#REF!</definedName>
    <definedName name="llllll" localSheetId="39">#REF!</definedName>
    <definedName name="llllll" localSheetId="30">#REF!</definedName>
    <definedName name="llllll" localSheetId="4">#REF!</definedName>
    <definedName name="llllll" localSheetId="40">#REF!</definedName>
    <definedName name="llllll" localSheetId="5">#REF!</definedName>
    <definedName name="llllll" localSheetId="6">#REF!</definedName>
    <definedName name="llllll" localSheetId="7">#REF!</definedName>
    <definedName name="llllll" localSheetId="8">#REF!</definedName>
    <definedName name="llllll" localSheetId="9">#REF!</definedName>
    <definedName name="llllll" localSheetId="10">#REF!</definedName>
    <definedName name="llllll" localSheetId="33">#REF!</definedName>
    <definedName name="llllll">#REF!</definedName>
    <definedName name="llllllllllll" localSheetId="11">#REF!</definedName>
    <definedName name="llllllllllll" localSheetId="14">#REF!</definedName>
    <definedName name="llllllllllll" localSheetId="13">#REF!</definedName>
    <definedName name="llllllllllll" localSheetId="2">#REF!</definedName>
    <definedName name="llllllllllll" localSheetId="3">#REF!</definedName>
    <definedName name="llllllllllll" localSheetId="31">#REF!</definedName>
    <definedName name="llllllllllll" localSheetId="32">#REF!</definedName>
    <definedName name="llllllllllll" localSheetId="34">#REF!</definedName>
    <definedName name="llllllllllll" localSheetId="28">#REF!</definedName>
    <definedName name="llllllllllll" localSheetId="39">#REF!</definedName>
    <definedName name="llllllllllll" localSheetId="30">#REF!</definedName>
    <definedName name="llllllllllll" localSheetId="4">#REF!</definedName>
    <definedName name="llllllllllll" localSheetId="40">#REF!</definedName>
    <definedName name="llllllllllll" localSheetId="5">#REF!</definedName>
    <definedName name="llllllllllll" localSheetId="6">#REF!</definedName>
    <definedName name="llllllllllll" localSheetId="7">#REF!</definedName>
    <definedName name="llllllllllll" localSheetId="8">#REF!</definedName>
    <definedName name="llllllllllll" localSheetId="9">#REF!</definedName>
    <definedName name="llllllllllll" localSheetId="10">#REF!</definedName>
    <definedName name="llllllllllll" localSheetId="33">#REF!</definedName>
    <definedName name="llllllllllll">#REF!</definedName>
    <definedName name="llllllllllllllllllllllllllllll" localSheetId="11">#REF!</definedName>
    <definedName name="llllllllllllllllllllllllllllll" localSheetId="14">#REF!</definedName>
    <definedName name="llllllllllllllllllllllllllllll" localSheetId="13">#REF!</definedName>
    <definedName name="llllllllllllllllllllllllllllll" localSheetId="2">#REF!</definedName>
    <definedName name="llllllllllllllllllllllllllllll" localSheetId="3">#REF!</definedName>
    <definedName name="llllllllllllllllllllllllllllll" localSheetId="31">#REF!</definedName>
    <definedName name="llllllllllllllllllllllllllllll" localSheetId="32">#REF!</definedName>
    <definedName name="llllllllllllllllllllllllllllll" localSheetId="34">#REF!</definedName>
    <definedName name="llllllllllllllllllllllllllllll" localSheetId="28">#REF!</definedName>
    <definedName name="llllllllllllllllllllllllllllll" localSheetId="39">#REF!</definedName>
    <definedName name="llllllllllllllllllllllllllllll" localSheetId="30">#REF!</definedName>
    <definedName name="llllllllllllllllllllllllllllll" localSheetId="4">#REF!</definedName>
    <definedName name="llllllllllllllllllllllllllllll" localSheetId="40">#REF!</definedName>
    <definedName name="llllllllllllllllllllllllllllll" localSheetId="5">#REF!</definedName>
    <definedName name="llllllllllllllllllllllllllllll" localSheetId="6">#REF!</definedName>
    <definedName name="llllllllllllllllllllllllllllll" localSheetId="7">#REF!</definedName>
    <definedName name="llllllllllllllllllllllllllllll" localSheetId="8">#REF!</definedName>
    <definedName name="llllllllllllllllllllllllllllll" localSheetId="9">#REF!</definedName>
    <definedName name="llllllllllllllllllllllllllllll" localSheetId="10">#REF!</definedName>
    <definedName name="llllllllllllllllllllllllllllll" localSheetId="33">#REF!</definedName>
    <definedName name="llllllllllllllllllllllllllllll">#REF!</definedName>
    <definedName name="m" localSheetId="31">#REF!</definedName>
    <definedName name="m" localSheetId="32">#REF!</definedName>
    <definedName name="m" localSheetId="34">#REF!</definedName>
    <definedName name="m">#REF!</definedName>
    <definedName name="mérl" localSheetId="31">#REF!</definedName>
    <definedName name="mérl" localSheetId="32">#REF!</definedName>
    <definedName name="mérl" localSheetId="34">#REF!</definedName>
    <definedName name="mérl">#REF!</definedName>
    <definedName name="Mérleg" localSheetId="11">#REF!</definedName>
    <definedName name="Mérleg" localSheetId="14">#REF!</definedName>
    <definedName name="Mérleg" localSheetId="13">#REF!</definedName>
    <definedName name="Mérleg" localSheetId="2">#REF!</definedName>
    <definedName name="Mérleg" localSheetId="3">#REF!</definedName>
    <definedName name="Mérleg" localSheetId="27">#REF!</definedName>
    <definedName name="Mérleg" localSheetId="31">#REF!</definedName>
    <definedName name="Mérleg" localSheetId="32">#REF!</definedName>
    <definedName name="mérleg" localSheetId="34">#REF!</definedName>
    <definedName name="Mérleg" localSheetId="28">#REF!</definedName>
    <definedName name="Mérleg" localSheetId="29">#REF!</definedName>
    <definedName name="Mérleg" localSheetId="39">#REF!</definedName>
    <definedName name="Mérleg" localSheetId="30">#REF!</definedName>
    <definedName name="Mérleg" localSheetId="4">#REF!</definedName>
    <definedName name="Mérleg" localSheetId="40">#REF!</definedName>
    <definedName name="Mérleg" localSheetId="41">#REF!</definedName>
    <definedName name="Mérleg" localSheetId="5">#REF!</definedName>
    <definedName name="Mérleg" localSheetId="6">#REF!</definedName>
    <definedName name="Mérleg" localSheetId="7">#REF!</definedName>
    <definedName name="Mérleg" localSheetId="8">#REF!</definedName>
    <definedName name="Mérleg" localSheetId="9">#REF!</definedName>
    <definedName name="Mérleg" localSheetId="10">#REF!</definedName>
    <definedName name="Mérleg" localSheetId="33">#REF!</definedName>
    <definedName name="Mérleg" localSheetId="0">#N/A</definedName>
    <definedName name="Mérleg">#REF!</definedName>
    <definedName name="n" localSheetId="31">#REF!</definedName>
    <definedName name="n" localSheetId="32">#REF!</definedName>
    <definedName name="n" localSheetId="34">#REF!</definedName>
    <definedName name="n">#REF!</definedName>
    <definedName name="Nemet" localSheetId="25">#REF!</definedName>
    <definedName name="Nemet" localSheetId="31">#REF!</definedName>
    <definedName name="Nemet" localSheetId="32">#REF!</definedName>
    <definedName name="Nemet" localSheetId="34">#REF!</definedName>
    <definedName name="Nemet" localSheetId="39">#REF!</definedName>
    <definedName name="Nemet" localSheetId="40">#REF!</definedName>
    <definedName name="Nemet">#REF!</definedName>
    <definedName name="Német" localSheetId="25">#REF!</definedName>
    <definedName name="Német" localSheetId="31">#REF!</definedName>
    <definedName name="Német" localSheetId="32">#REF!</definedName>
    <definedName name="Német" localSheetId="34">#REF!</definedName>
    <definedName name="Német" localSheetId="39">#REF!</definedName>
    <definedName name="Német" localSheetId="40">#REF!</definedName>
    <definedName name="Német">#REF!</definedName>
    <definedName name="nev_c" localSheetId="31">#REF!</definedName>
    <definedName name="nev_c" localSheetId="32">#REF!</definedName>
    <definedName name="nev_c" localSheetId="34">#REF!</definedName>
    <definedName name="nev_c">#REF!</definedName>
    <definedName name="nev_g" localSheetId="31">#REF!</definedName>
    <definedName name="nev_g" localSheetId="32">#REF!</definedName>
    <definedName name="nev_g" localSheetId="34">#REF!</definedName>
    <definedName name="nev_g">#REF!</definedName>
    <definedName name="nev_k" localSheetId="31">#REF!</definedName>
    <definedName name="nev_k" localSheetId="32">#REF!</definedName>
    <definedName name="nev_k" localSheetId="34">#REF!</definedName>
    <definedName name="nev_k">#REF!</definedName>
    <definedName name="névt" localSheetId="31">#REF!</definedName>
    <definedName name="névt" localSheetId="32">#REF!</definedName>
    <definedName name="névt" localSheetId="34">#REF!</definedName>
    <definedName name="névt">#REF!</definedName>
    <definedName name="Névtelen" localSheetId="11">#REF!</definedName>
    <definedName name="Névtelen" localSheetId="14">#REF!</definedName>
    <definedName name="Névtelen" localSheetId="13">#REF!</definedName>
    <definedName name="Névtelen" localSheetId="2">#REF!</definedName>
    <definedName name="Névtelen" localSheetId="3">#REF!</definedName>
    <definedName name="Névtelen" localSheetId="27">#REF!</definedName>
    <definedName name="Névtelen" localSheetId="31">#REF!</definedName>
    <definedName name="Névtelen" localSheetId="32">#REF!</definedName>
    <definedName name="Névtelen" localSheetId="34">#REF!</definedName>
    <definedName name="Névtelen" localSheetId="28">#REF!</definedName>
    <definedName name="Névtelen" localSheetId="29">#REF!</definedName>
    <definedName name="Névtelen" localSheetId="39">#REF!</definedName>
    <definedName name="Névtelen" localSheetId="30">#REF!</definedName>
    <definedName name="Névtelen" localSheetId="4">#REF!</definedName>
    <definedName name="Névtelen" localSheetId="40">#REF!</definedName>
    <definedName name="Névtelen" localSheetId="41">#REF!</definedName>
    <definedName name="Névtelen" localSheetId="5">#REF!</definedName>
    <definedName name="Névtelen" localSheetId="6">#REF!</definedName>
    <definedName name="Névtelen" localSheetId="7">#REF!</definedName>
    <definedName name="Névtelen" localSheetId="8">#REF!</definedName>
    <definedName name="Névtelen" localSheetId="9">#REF!</definedName>
    <definedName name="Névtelen" localSheetId="10">#REF!</definedName>
    <definedName name="Névtelen" localSheetId="33">#REF!</definedName>
    <definedName name="Névtelen" localSheetId="0">#N/A</definedName>
    <definedName name="Névtelen">#REF!</definedName>
    <definedName name="nn" localSheetId="31">#REF!</definedName>
    <definedName name="nn" localSheetId="32">#REF!</definedName>
    <definedName name="nn" localSheetId="34">#REF!</definedName>
    <definedName name="nn">#REF!</definedName>
    <definedName name="NNÓ" localSheetId="25">#REF!</definedName>
    <definedName name="NNÓ" localSheetId="31">#REF!</definedName>
    <definedName name="NNÓ" localSheetId="32">#REF!</definedName>
    <definedName name="NNÓ" localSheetId="34">#REF!</definedName>
    <definedName name="NNÓ" localSheetId="39">#REF!</definedName>
    <definedName name="NNÓ" localSheetId="40">#REF!</definedName>
    <definedName name="NNÓ">#REF!</definedName>
    <definedName name="NNÖ" localSheetId="31">#REF!</definedName>
    <definedName name="NNÖ" localSheetId="32">#REF!</definedName>
    <definedName name="NNÖ" localSheetId="34">#REF!</definedName>
    <definedName name="NNÖ">#REF!</definedName>
    <definedName name="norm" localSheetId="31">#REF!</definedName>
    <definedName name="norm" localSheetId="32">#REF!</definedName>
    <definedName name="norm" localSheetId="34">#REF!</definedName>
    <definedName name="norm">#REF!</definedName>
    <definedName name="Normatíva" localSheetId="11">#REF!</definedName>
    <definedName name="Normatíva" localSheetId="14">#REF!</definedName>
    <definedName name="Normatíva" localSheetId="13">#REF!</definedName>
    <definedName name="Normatíva" localSheetId="2">#REF!</definedName>
    <definedName name="Normatíva" localSheetId="3">#REF!</definedName>
    <definedName name="Normatíva" localSheetId="27">#REF!</definedName>
    <definedName name="Normatíva" localSheetId="31">#REF!</definedName>
    <definedName name="Normatíva" localSheetId="32">#REF!</definedName>
    <definedName name="Normatíva" localSheetId="34">#REF!</definedName>
    <definedName name="Normatíva" localSheetId="28">#REF!</definedName>
    <definedName name="Normatíva" localSheetId="29">#REF!</definedName>
    <definedName name="Normatíva" localSheetId="39">#REF!</definedName>
    <definedName name="Normatíva" localSheetId="30">#REF!</definedName>
    <definedName name="Normatíva" localSheetId="4">#REF!</definedName>
    <definedName name="Normatíva" localSheetId="40">#REF!</definedName>
    <definedName name="Normatíva" localSheetId="41">#REF!</definedName>
    <definedName name="Normatíva" localSheetId="5">#REF!</definedName>
    <definedName name="Normatíva" localSheetId="6">#REF!</definedName>
    <definedName name="Normatíva" localSheetId="7">#REF!</definedName>
    <definedName name="Normatíva" localSheetId="8">#REF!</definedName>
    <definedName name="Normatíva" localSheetId="9">#REF!</definedName>
    <definedName name="Normatíva" localSheetId="10">#REF!</definedName>
    <definedName name="Normatíva" localSheetId="33">#REF!</definedName>
    <definedName name="Normatíva" localSheetId="0">#REF!</definedName>
    <definedName name="Normatíva">#REF!</definedName>
    <definedName name="nt" localSheetId="31">#REF!</definedName>
    <definedName name="nt" localSheetId="32">#REF!</definedName>
    <definedName name="nt" localSheetId="34">#REF!</definedName>
    <definedName name="nt">#REF!</definedName>
    <definedName name="_xlnm.Print_Titles" localSheetId="13">'13. Költségvetési támogatások'!$9:$9</definedName>
    <definedName name="_xlnm.Print_Area" localSheetId="1">'1.Bev_kiad_kiemelt ei'!$A$1:$V$18</definedName>
    <definedName name="_xlnm.Print_Area" localSheetId="11">'10.GESZ'!$A$1:$N$66</definedName>
    <definedName name="_xlnm.Print_Area" localSheetId="12">'11. Bölcsöde'!$A$1:$N$66</definedName>
    <definedName name="_xlnm.Print_Area" localSheetId="14">'12. Támogatási bevételek (B (2)'!$A$1:$AF$24</definedName>
    <definedName name="_xlnm.Print_Area" localSheetId="13">'13. Költségvetési támogatások'!$A$1:$F$74</definedName>
    <definedName name="_xlnm.Print_Area" localSheetId="15">'13. Működési bev. (B3,B4)'!$A$1:$M$52</definedName>
    <definedName name="_xlnm.Print_Area" localSheetId="16">'14. Átvett pénze.(B6,B7)'!$A$1:$G$33</definedName>
    <definedName name="_xlnm.Print_Area" localSheetId="17">'15. finanszírozás be_ki (B8,K9)'!$A$1:$H$37</definedName>
    <definedName name="_xlnm.Print_Area" localSheetId="18">'16. Dologi kiadások cofog(K3)'!$A$1:$M$44</definedName>
    <definedName name="_xlnm.Print_Area" localSheetId="20">'17. Ellátottak p.jutattás (K4)'!$A$1:$M$27</definedName>
    <definedName name="_xlnm.Print_Area" localSheetId="21">'18. Pe. átad. és tám. (K5)'!$A$1:$H$43</definedName>
    <definedName name="_xlnm.Print_Area" localSheetId="19">'19. Dologi kiad.igazg. (K3)'!$A$1:$J$55</definedName>
    <definedName name="_xlnm.Print_Area" localSheetId="22">'19. Tartalékok (K512)'!$A$1:$E$27</definedName>
    <definedName name="_xlnm.Print_Area" localSheetId="2">'2.Bevételek_részletes'!$A$1:$AF$48</definedName>
    <definedName name="_xlnm.Print_Area" localSheetId="3">'2.Kiadások_részletes '!$A$1:$AF$35</definedName>
    <definedName name="_xlnm.Print_Area" localSheetId="23">'20. Beruházás (K6)'!$A$1:$L$71</definedName>
    <definedName name="_xlnm.Print_Area" localSheetId="24">'21. Felújítás (K7)'!$A$1:$L$38</definedName>
    <definedName name="_xlnm.Print_Area" localSheetId="25">'22. Több éves elköt. (2)'!$A$1:$L$21</definedName>
    <definedName name="_xlnm.Print_Area" localSheetId="27">'23.sz.létszám'!$A$1:$F$34</definedName>
    <definedName name="_xlnm.Print_Area" localSheetId="32">'25. pénzmaradvány kimutatás (2)'!$A$1:$K$59</definedName>
    <definedName name="_xlnm.Print_Area" localSheetId="26">'25. Több éves elköt.'!$A$1:$L$21</definedName>
    <definedName name="_xlnm.Print_Area" localSheetId="34">'26. egysz mérleg'!$A$1:$H$54</definedName>
    <definedName name="_xlnm.Print_Area" localSheetId="28">'27. ktgv.mérleg'!$A$1:$L$34</definedName>
    <definedName name="_xlnm.Print_Area" localSheetId="29">'28.eir.felh.ütemterv'!$A$1:$O$31</definedName>
    <definedName name="_xlnm.Print_Area" localSheetId="39">'29. közvetett tám.'!$A$1:$D$32</definedName>
    <definedName name="_xlnm.Print_Area" localSheetId="30">'29.sz.finansz.ütemterv'!$A$1:$H$35</definedName>
    <definedName name="_xlnm.Print_Area" localSheetId="4">'3. Gesz költségvetés'!$A$1:$AF$52</definedName>
    <definedName name="_xlnm.Print_Area" localSheetId="40">'30. EU projekt '!$A$1:$D$39</definedName>
    <definedName name="_xlnm.Print_Area" localSheetId="41">'31.sz.adósságszolgálat'!$A$1:$C$9</definedName>
    <definedName name="_xlnm.Print_Area" localSheetId="42">'32. gördülő'!$A$1:$F$49</definedName>
    <definedName name="_xlnm.Print_Area" localSheetId="5">'4. Köt+önk_Önkori'!$A$1:$N$74</definedName>
    <definedName name="_xlnm.Print_Area" localSheetId="6">'5. Köt+önk_PH'!$A$1:$R$69</definedName>
    <definedName name="_xlnm.Print_Area" localSheetId="7">'6. Köt+önk_Szakorvosi'!$A$1:$N$66</definedName>
    <definedName name="_xlnm.Print_Area" localSheetId="8">'7.Ligeti cseperedő Ovi'!$A$1:$N$66</definedName>
    <definedName name="_xlnm.Print_Area" localSheetId="9">'8.Német nemzetiségi Ovi'!$A$1:$N$67</definedName>
    <definedName name="_xlnm.Print_Area" localSheetId="10">'9.Művészetek Háza'!$A$1:$R$67</definedName>
    <definedName name="_xlnm.Print_Area" localSheetId="33">'Nem,29.sz.közvetett tám.'!$A$1:$D$32</definedName>
    <definedName name="_xlnm.Print_Area" localSheetId="0">Tartalomjegyzék_2017!$A$1:$B$39</definedName>
    <definedName name="öhasnorm" localSheetId="31">#REF!</definedName>
    <definedName name="öhasnorm" localSheetId="32">#REF!</definedName>
    <definedName name="öhasnorm" localSheetId="34">#REF!</definedName>
    <definedName name="öhasnorm">#REF!</definedName>
    <definedName name="öhn" localSheetId="31">#REF!</definedName>
    <definedName name="öhn" localSheetId="32">#REF!</definedName>
    <definedName name="öhn" localSheetId="34">#REF!</definedName>
    <definedName name="öhn">#REF!</definedName>
    <definedName name="ön" localSheetId="31">#REF!</definedName>
    <definedName name="ön" localSheetId="32">#REF!</definedName>
    <definedName name="ön" localSheetId="34">#REF!</definedName>
    <definedName name="ön">#REF!</definedName>
    <definedName name="Összehas.norm." localSheetId="11">#REF!</definedName>
    <definedName name="Összehas.norm." localSheetId="14">#REF!</definedName>
    <definedName name="Összehas.norm." localSheetId="13">#REF!</definedName>
    <definedName name="Összehas.norm." localSheetId="2">#REF!</definedName>
    <definedName name="Összehas.norm." localSheetId="3">#REF!</definedName>
    <definedName name="Összehas.norm." localSheetId="27">#REF!</definedName>
    <definedName name="Összehas.norm." localSheetId="31">#REF!</definedName>
    <definedName name="Összehas.norm." localSheetId="32">#REF!</definedName>
    <definedName name="Összehas.norm." localSheetId="34">#REF!</definedName>
    <definedName name="Összehas.norm." localSheetId="28">#REF!</definedName>
    <definedName name="Összehas.norm." localSheetId="29">#REF!</definedName>
    <definedName name="Összehas.norm." localSheetId="39">#REF!</definedName>
    <definedName name="Összehas.norm." localSheetId="30">#REF!</definedName>
    <definedName name="Összehas.norm." localSheetId="4">#REF!</definedName>
    <definedName name="Összehas.norm." localSheetId="40">#REF!</definedName>
    <definedName name="Összehas.norm." localSheetId="41">#REF!</definedName>
    <definedName name="Összehas.norm." localSheetId="5">#REF!</definedName>
    <definedName name="Összehas.norm." localSheetId="6">#REF!</definedName>
    <definedName name="Összehas.norm." localSheetId="7">#REF!</definedName>
    <definedName name="Összehas.norm." localSheetId="8">#REF!</definedName>
    <definedName name="Összehas.norm." localSheetId="9">#REF!</definedName>
    <definedName name="Összehas.norm." localSheetId="10">#REF!</definedName>
    <definedName name="Összehas.norm." localSheetId="33">#REF!</definedName>
    <definedName name="Összehas.norm." localSheetId="0">#N/A</definedName>
    <definedName name="Összehas.norm.">#REF!</definedName>
    <definedName name="p" localSheetId="11">#REF!</definedName>
    <definedName name="p" localSheetId="14">#REF!</definedName>
    <definedName name="p" localSheetId="13">#REF!</definedName>
    <definedName name="p" localSheetId="2">#REF!</definedName>
    <definedName name="p" localSheetId="3">#REF!</definedName>
    <definedName name="p" localSheetId="31">#REF!</definedName>
    <definedName name="P" localSheetId="32">#REF!</definedName>
    <definedName name="P" localSheetId="34">#REF!</definedName>
    <definedName name="p" localSheetId="28">#REF!</definedName>
    <definedName name="p" localSheetId="39">#REF!</definedName>
    <definedName name="p" localSheetId="30">#REF!</definedName>
    <definedName name="p" localSheetId="4">#REF!</definedName>
    <definedName name="p" localSheetId="40">#REF!</definedName>
    <definedName name="p" localSheetId="5">#REF!</definedName>
    <definedName name="p" localSheetId="6">#REF!</definedName>
    <definedName name="p" localSheetId="7">#REF!</definedName>
    <definedName name="p" localSheetId="8">#REF!</definedName>
    <definedName name="p" localSheetId="9">#REF!</definedName>
    <definedName name="p" localSheetId="10">#REF!</definedName>
    <definedName name="p" localSheetId="33">#REF!</definedName>
    <definedName name="p">#REF!</definedName>
    <definedName name="sr" localSheetId="31">#REF!</definedName>
    <definedName name="sr" localSheetId="32">#REF!</definedName>
    <definedName name="sr" localSheetId="34">#REF!</definedName>
    <definedName name="sr">#REF!</definedName>
    <definedName name="st" localSheetId="31">#REF!</definedName>
    <definedName name="st" localSheetId="32">#REF!</definedName>
    <definedName name="st" localSheetId="34">#REF!</definedName>
    <definedName name="st">#REF!</definedName>
    <definedName name="stát" localSheetId="31">#REF!</definedName>
    <definedName name="stát" localSheetId="32">#REF!</definedName>
    <definedName name="stát" localSheetId="34">#REF!</definedName>
    <definedName name="stát">#REF!</definedName>
    <definedName name="Státusz" localSheetId="11">#REF!</definedName>
    <definedName name="Státusz" localSheetId="14">#REF!</definedName>
    <definedName name="Státusz" localSheetId="13">#REF!</definedName>
    <definedName name="Státusz" localSheetId="2">#REF!</definedName>
    <definedName name="Státusz" localSheetId="3">#REF!</definedName>
    <definedName name="Státusz" localSheetId="27">#REF!</definedName>
    <definedName name="Státusz" localSheetId="31">#REF!</definedName>
    <definedName name="Státusz" localSheetId="32">#REF!</definedName>
    <definedName name="Státusz" localSheetId="34">#REF!</definedName>
    <definedName name="Státusz" localSheetId="28">#REF!</definedName>
    <definedName name="Státusz" localSheetId="29">#REF!</definedName>
    <definedName name="Státusz" localSheetId="39">#REF!</definedName>
    <definedName name="Státusz" localSheetId="30">#REF!</definedName>
    <definedName name="Státusz" localSheetId="4">#REF!</definedName>
    <definedName name="Státusz" localSheetId="40">#REF!</definedName>
    <definedName name="Státusz" localSheetId="41">#REF!</definedName>
    <definedName name="Státusz" localSheetId="5">#REF!</definedName>
    <definedName name="Státusz" localSheetId="6">#REF!</definedName>
    <definedName name="Státusz" localSheetId="7">#REF!</definedName>
    <definedName name="Státusz" localSheetId="8">#REF!</definedName>
    <definedName name="Státusz" localSheetId="9">#REF!</definedName>
    <definedName name="Státusz" localSheetId="10">#REF!</definedName>
    <definedName name="Státusz" localSheetId="33">#REF!</definedName>
    <definedName name="Státusz" localSheetId="0">#N/A</definedName>
    <definedName name="Státusz">#REF!</definedName>
    <definedName name="t" localSheetId="11">#REF!</definedName>
    <definedName name="t" localSheetId="14">#REF!</definedName>
    <definedName name="t" localSheetId="13">#REF!</definedName>
    <definedName name="t" localSheetId="2">#REF!</definedName>
    <definedName name="t" localSheetId="3">#REF!</definedName>
    <definedName name="t" localSheetId="31">#REF!</definedName>
    <definedName name="t" localSheetId="32">#REF!</definedName>
    <definedName name="t" localSheetId="34">#REF!</definedName>
    <definedName name="t" localSheetId="28">#REF!</definedName>
    <definedName name="t" localSheetId="39">#REF!</definedName>
    <definedName name="t" localSheetId="30">#REF!</definedName>
    <definedName name="t" localSheetId="4">#REF!</definedName>
    <definedName name="t" localSheetId="40">#REF!</definedName>
    <definedName name="t" localSheetId="5">#REF!</definedName>
    <definedName name="t" localSheetId="6">#REF!</definedName>
    <definedName name="t" localSheetId="7">#REF!</definedName>
    <definedName name="t" localSheetId="8">#REF!</definedName>
    <definedName name="t" localSheetId="9">#REF!</definedName>
    <definedName name="t" localSheetId="10">#REF!</definedName>
    <definedName name="t" localSheetId="33">#REF!</definedName>
    <definedName name="t">#REF!</definedName>
    <definedName name="tartos" localSheetId="13">#REF!</definedName>
    <definedName name="tartos" localSheetId="31">#REF!</definedName>
    <definedName name="tartos" localSheetId="32">#REF!</definedName>
    <definedName name="tartos" localSheetId="34">#REF!</definedName>
    <definedName name="tartos" localSheetId="28">#REF!</definedName>
    <definedName name="tartos" localSheetId="39">#REF!</definedName>
    <definedName name="tartos" localSheetId="30">#REF!</definedName>
    <definedName name="tartos" localSheetId="40">#REF!</definedName>
    <definedName name="tartos" localSheetId="5">#REF!</definedName>
    <definedName name="tartos" localSheetId="8">#REF!</definedName>
    <definedName name="tartos" localSheetId="9">#REF!</definedName>
    <definedName name="tartos" localSheetId="33">#REF!</definedName>
    <definedName name="tartos">#REF!</definedName>
    <definedName name="u" localSheetId="11">#REF!</definedName>
    <definedName name="u" localSheetId="14">#REF!</definedName>
    <definedName name="u" localSheetId="13">#REF!</definedName>
    <definedName name="u" localSheetId="2">#REF!</definedName>
    <definedName name="u" localSheetId="3">#REF!</definedName>
    <definedName name="u" localSheetId="31">#REF!</definedName>
    <definedName name="u" localSheetId="32">#REF!</definedName>
    <definedName name="u" localSheetId="34">#REF!</definedName>
    <definedName name="u" localSheetId="28">#REF!</definedName>
    <definedName name="u" localSheetId="39">#REF!</definedName>
    <definedName name="u" localSheetId="30">#REF!</definedName>
    <definedName name="u" localSheetId="4">#REF!</definedName>
    <definedName name="u" localSheetId="40">#REF!</definedName>
    <definedName name="u" localSheetId="5">#REF!</definedName>
    <definedName name="u" localSheetId="6">#REF!</definedName>
    <definedName name="u" localSheetId="7">#REF!</definedName>
    <definedName name="u" localSheetId="8">#REF!</definedName>
    <definedName name="u" localSheetId="9">#REF!</definedName>
    <definedName name="u" localSheetId="10">#REF!</definedName>
    <definedName name="u" localSheetId="33">#REF!</definedName>
    <definedName name="u">#REF!</definedName>
    <definedName name="ú" localSheetId="11">#REF!</definedName>
    <definedName name="ú" localSheetId="14">#REF!</definedName>
    <definedName name="ú" localSheetId="13">#REF!</definedName>
    <definedName name="ú" localSheetId="2">#REF!</definedName>
    <definedName name="ú" localSheetId="3">#REF!</definedName>
    <definedName name="ú" localSheetId="31">#REF!</definedName>
    <definedName name="ú" localSheetId="32">#REF!</definedName>
    <definedName name="ú" localSheetId="34">#REF!</definedName>
    <definedName name="ú" localSheetId="28">#REF!</definedName>
    <definedName name="ú" localSheetId="39">#REF!</definedName>
    <definedName name="ú" localSheetId="30">#REF!</definedName>
    <definedName name="ú" localSheetId="4">#REF!</definedName>
    <definedName name="ú" localSheetId="40">#REF!</definedName>
    <definedName name="ú" localSheetId="5">#REF!</definedName>
    <definedName name="ú" localSheetId="6">#REF!</definedName>
    <definedName name="ú" localSheetId="7">#REF!</definedName>
    <definedName name="ú" localSheetId="8">#REF!</definedName>
    <definedName name="ú" localSheetId="9">#REF!</definedName>
    <definedName name="ú" localSheetId="10">#REF!</definedName>
    <definedName name="ú" localSheetId="33">#REF!</definedName>
    <definedName name="ú">#REF!</definedName>
    <definedName name="új1" localSheetId="13">#REF!</definedName>
    <definedName name="új1" localSheetId="31">#REF!</definedName>
    <definedName name="új1" localSheetId="32">#REF!</definedName>
    <definedName name="új1" localSheetId="34">#REF!</definedName>
    <definedName name="új1" localSheetId="28">#REF!</definedName>
    <definedName name="új1" localSheetId="39">#REF!</definedName>
    <definedName name="új1" localSheetId="30">#REF!</definedName>
    <definedName name="új1" localSheetId="40">#REF!</definedName>
    <definedName name="új1" localSheetId="5">#REF!</definedName>
    <definedName name="új1" localSheetId="8">#REF!</definedName>
    <definedName name="új1" localSheetId="9">#REF!</definedName>
    <definedName name="új1" localSheetId="33">#REF!</definedName>
    <definedName name="új1">#REF!</definedName>
    <definedName name="új10" localSheetId="13">#REF!</definedName>
    <definedName name="új10" localSheetId="31">#REF!</definedName>
    <definedName name="új10" localSheetId="32">#REF!</definedName>
    <definedName name="új10" localSheetId="34">#REF!</definedName>
    <definedName name="új10" localSheetId="28">#REF!</definedName>
    <definedName name="új10" localSheetId="39">#REF!</definedName>
    <definedName name="új10" localSheetId="30">#REF!</definedName>
    <definedName name="új10" localSheetId="40">#REF!</definedName>
    <definedName name="új10" localSheetId="5">#REF!</definedName>
    <definedName name="új10" localSheetId="8">#REF!</definedName>
    <definedName name="új10" localSheetId="9">#REF!</definedName>
    <definedName name="új10" localSheetId="33">#REF!</definedName>
    <definedName name="új10">#REF!</definedName>
    <definedName name="új11" localSheetId="13">#REF!</definedName>
    <definedName name="új11" localSheetId="31">#REF!</definedName>
    <definedName name="új11" localSheetId="32">#REF!</definedName>
    <definedName name="új11" localSheetId="34">#REF!</definedName>
    <definedName name="új11" localSheetId="28">#REF!</definedName>
    <definedName name="új11" localSheetId="39">#REF!</definedName>
    <definedName name="új11" localSheetId="30">#REF!</definedName>
    <definedName name="új11" localSheetId="40">#REF!</definedName>
    <definedName name="új11" localSheetId="5">#REF!</definedName>
    <definedName name="új11" localSheetId="8">#REF!</definedName>
    <definedName name="új11" localSheetId="9">#REF!</definedName>
    <definedName name="új11" localSheetId="33">#REF!</definedName>
    <definedName name="új11">#REF!</definedName>
    <definedName name="új12" localSheetId="13">#REF!</definedName>
    <definedName name="új12" localSheetId="31">#REF!</definedName>
    <definedName name="új12" localSheetId="32">#REF!</definedName>
    <definedName name="új12" localSheetId="34">#REF!</definedName>
    <definedName name="új12" localSheetId="28">#REF!</definedName>
    <definedName name="új12" localSheetId="39">#REF!</definedName>
    <definedName name="új12" localSheetId="30">#REF!</definedName>
    <definedName name="új12" localSheetId="40">#REF!</definedName>
    <definedName name="új12" localSheetId="5">#REF!</definedName>
    <definedName name="új12" localSheetId="8">#REF!</definedName>
    <definedName name="új12" localSheetId="9">#REF!</definedName>
    <definedName name="új12" localSheetId="33">#REF!</definedName>
    <definedName name="új12">#REF!</definedName>
    <definedName name="új13" localSheetId="13">#REF!</definedName>
    <definedName name="új13" localSheetId="31">#REF!</definedName>
    <definedName name="új13" localSheetId="32">#REF!</definedName>
    <definedName name="új13" localSheetId="34">#REF!</definedName>
    <definedName name="új13" localSheetId="28">#REF!</definedName>
    <definedName name="új13" localSheetId="39">#REF!</definedName>
    <definedName name="új13" localSheetId="30">#REF!</definedName>
    <definedName name="új13" localSheetId="40">#REF!</definedName>
    <definedName name="új13" localSheetId="5">#REF!</definedName>
    <definedName name="új13" localSheetId="8">#REF!</definedName>
    <definedName name="új13" localSheetId="9">#REF!</definedName>
    <definedName name="új13" localSheetId="33">#REF!</definedName>
    <definedName name="új13">#REF!</definedName>
    <definedName name="új14" localSheetId="13">#REF!</definedName>
    <definedName name="új14" localSheetId="31">#REF!</definedName>
    <definedName name="új14" localSheetId="32">#REF!</definedName>
    <definedName name="új14" localSheetId="34">#REF!</definedName>
    <definedName name="új14" localSheetId="28">#REF!</definedName>
    <definedName name="új14" localSheetId="39">#REF!</definedName>
    <definedName name="új14" localSheetId="30">#REF!</definedName>
    <definedName name="új14" localSheetId="40">#REF!</definedName>
    <definedName name="új14" localSheetId="5">#REF!</definedName>
    <definedName name="új14" localSheetId="8">#REF!</definedName>
    <definedName name="új14" localSheetId="9">#REF!</definedName>
    <definedName name="új14" localSheetId="33">#REF!</definedName>
    <definedName name="új14">#REF!</definedName>
    <definedName name="új15" localSheetId="13">#REF!</definedName>
    <definedName name="új15" localSheetId="31">#REF!</definedName>
    <definedName name="új15" localSheetId="32">#REF!</definedName>
    <definedName name="új15" localSheetId="34">#REF!</definedName>
    <definedName name="új15" localSheetId="28">#REF!</definedName>
    <definedName name="új15" localSheetId="39">#REF!</definedName>
    <definedName name="új15" localSheetId="30">#REF!</definedName>
    <definedName name="új15" localSheetId="40">#REF!</definedName>
    <definedName name="új15" localSheetId="5">#REF!</definedName>
    <definedName name="új15" localSheetId="8">#REF!</definedName>
    <definedName name="új15" localSheetId="9">#REF!</definedName>
    <definedName name="új15" localSheetId="33">#REF!</definedName>
    <definedName name="új15">#REF!</definedName>
    <definedName name="új16" localSheetId="13">#REF!</definedName>
    <definedName name="új16" localSheetId="31">#REF!</definedName>
    <definedName name="új16" localSheetId="32">#REF!</definedName>
    <definedName name="új16" localSheetId="34">#REF!</definedName>
    <definedName name="új16" localSheetId="28">#REF!</definedName>
    <definedName name="új16" localSheetId="39">#REF!</definedName>
    <definedName name="új16" localSheetId="30">#REF!</definedName>
    <definedName name="új16" localSheetId="40">#REF!</definedName>
    <definedName name="új16" localSheetId="5">#REF!</definedName>
    <definedName name="új16" localSheetId="8">#REF!</definedName>
    <definedName name="új16" localSheetId="9">#REF!</definedName>
    <definedName name="új16" localSheetId="33">#REF!</definedName>
    <definedName name="új16">#REF!</definedName>
    <definedName name="új2" localSheetId="13">#REF!</definedName>
    <definedName name="új2" localSheetId="31">#REF!</definedName>
    <definedName name="új2" localSheetId="32">#REF!</definedName>
    <definedName name="új2" localSheetId="34">#REF!</definedName>
    <definedName name="új2" localSheetId="28">#REF!</definedName>
    <definedName name="új2" localSheetId="39">#REF!</definedName>
    <definedName name="új2" localSheetId="30">#REF!</definedName>
    <definedName name="új2" localSheetId="40">#REF!</definedName>
    <definedName name="új2" localSheetId="5">#REF!</definedName>
    <definedName name="új2" localSheetId="8">#REF!</definedName>
    <definedName name="új2" localSheetId="9">#REF!</definedName>
    <definedName name="új2" localSheetId="33">#REF!</definedName>
    <definedName name="új2">#REF!</definedName>
    <definedName name="új3" localSheetId="13">#REF!</definedName>
    <definedName name="új3" localSheetId="31">#REF!</definedName>
    <definedName name="új3" localSheetId="32">#REF!</definedName>
    <definedName name="új3" localSheetId="34">#REF!</definedName>
    <definedName name="új3" localSheetId="28">#REF!</definedName>
    <definedName name="új3" localSheetId="39">#REF!</definedName>
    <definedName name="új3" localSheetId="30">#REF!</definedName>
    <definedName name="új3" localSheetId="40">#REF!</definedName>
    <definedName name="új3" localSheetId="5">#REF!</definedName>
    <definedName name="új3" localSheetId="8">#REF!</definedName>
    <definedName name="új3" localSheetId="9">#REF!</definedName>
    <definedName name="új3" localSheetId="33">#REF!</definedName>
    <definedName name="új3">#REF!</definedName>
    <definedName name="új4" localSheetId="13">#REF!</definedName>
    <definedName name="új4" localSheetId="31">#REF!</definedName>
    <definedName name="új4" localSheetId="32">#REF!</definedName>
    <definedName name="új4" localSheetId="34">#REF!</definedName>
    <definedName name="új4" localSheetId="28">#REF!</definedName>
    <definedName name="új4" localSheetId="39">#REF!</definedName>
    <definedName name="új4" localSheetId="30">#REF!</definedName>
    <definedName name="új4" localSheetId="40">#REF!</definedName>
    <definedName name="új4" localSheetId="5">#REF!</definedName>
    <definedName name="új4" localSheetId="8">#REF!</definedName>
    <definedName name="új4" localSheetId="9">#REF!</definedName>
    <definedName name="új4" localSheetId="33">#REF!</definedName>
    <definedName name="új4">#REF!</definedName>
    <definedName name="új5" localSheetId="13">#REF!</definedName>
    <definedName name="új5" localSheetId="31">#REF!</definedName>
    <definedName name="új5" localSheetId="32">#REF!</definedName>
    <definedName name="új5" localSheetId="34">#REF!</definedName>
    <definedName name="új5" localSheetId="28">#REF!</definedName>
    <definedName name="új5" localSheetId="39">#REF!</definedName>
    <definedName name="új5" localSheetId="30">#REF!</definedName>
    <definedName name="új5" localSheetId="40">#REF!</definedName>
    <definedName name="új5" localSheetId="5">#REF!</definedName>
    <definedName name="új5" localSheetId="8">#REF!</definedName>
    <definedName name="új5" localSheetId="9">#REF!</definedName>
    <definedName name="új5" localSheetId="33">#REF!</definedName>
    <definedName name="új5">#REF!</definedName>
    <definedName name="új6" localSheetId="13">#REF!</definedName>
    <definedName name="új6" localSheetId="31">#REF!</definedName>
    <definedName name="új6" localSheetId="32">#REF!</definedName>
    <definedName name="új6" localSheetId="34">#REF!</definedName>
    <definedName name="új6" localSheetId="28">#REF!</definedName>
    <definedName name="új6" localSheetId="39">#REF!</definedName>
    <definedName name="új6" localSheetId="30">#REF!</definedName>
    <definedName name="új6" localSheetId="40">#REF!</definedName>
    <definedName name="új6" localSheetId="5">#REF!</definedName>
    <definedName name="új6" localSheetId="8">#REF!</definedName>
    <definedName name="új6" localSheetId="9">#REF!</definedName>
    <definedName name="új6" localSheetId="33">#REF!</definedName>
    <definedName name="új6">#REF!</definedName>
    <definedName name="új7" localSheetId="13">#REF!</definedName>
    <definedName name="új7" localSheetId="31">#REF!</definedName>
    <definedName name="új7" localSheetId="32">#REF!</definedName>
    <definedName name="új7" localSheetId="34">#REF!</definedName>
    <definedName name="új7" localSheetId="28">#REF!</definedName>
    <definedName name="új7" localSheetId="39">#REF!</definedName>
    <definedName name="új7" localSheetId="30">#REF!</definedName>
    <definedName name="új7" localSheetId="40">#REF!</definedName>
    <definedName name="új7" localSheetId="5">#REF!</definedName>
    <definedName name="új7" localSheetId="8">#REF!</definedName>
    <definedName name="új7" localSheetId="9">#REF!</definedName>
    <definedName name="új7" localSheetId="33">#REF!</definedName>
    <definedName name="új7">#REF!</definedName>
    <definedName name="új8" localSheetId="13">#REF!</definedName>
    <definedName name="új8" localSheetId="31">#REF!</definedName>
    <definedName name="új8" localSheetId="32">#REF!</definedName>
    <definedName name="új8" localSheetId="34">#REF!</definedName>
    <definedName name="új8" localSheetId="28">#REF!</definedName>
    <definedName name="új8" localSheetId="39">#REF!</definedName>
    <definedName name="új8" localSheetId="30">#REF!</definedName>
    <definedName name="új8" localSheetId="40">#REF!</definedName>
    <definedName name="új8" localSheetId="5">#REF!</definedName>
    <definedName name="új8" localSheetId="8">#REF!</definedName>
    <definedName name="új8" localSheetId="9">#REF!</definedName>
    <definedName name="új8" localSheetId="33">#REF!</definedName>
    <definedName name="új8">#REF!</definedName>
    <definedName name="új9" localSheetId="13">#REF!</definedName>
    <definedName name="új9" localSheetId="31">#REF!</definedName>
    <definedName name="új9" localSheetId="32">#REF!</definedName>
    <definedName name="új9" localSheetId="34">#REF!</definedName>
    <definedName name="új9" localSheetId="28">#REF!</definedName>
    <definedName name="új9" localSheetId="39">#REF!</definedName>
    <definedName name="új9" localSheetId="30">#REF!</definedName>
    <definedName name="új9" localSheetId="40">#REF!</definedName>
    <definedName name="új9" localSheetId="5">#REF!</definedName>
    <definedName name="új9" localSheetId="8">#REF!</definedName>
    <definedName name="új9" localSheetId="9">#REF!</definedName>
    <definedName name="új9" localSheetId="33">#REF!</definedName>
    <definedName name="új9">#REF!</definedName>
    <definedName name="ü" localSheetId="11">#REF!</definedName>
    <definedName name="ü" localSheetId="14">#REF!</definedName>
    <definedName name="ü" localSheetId="13">#REF!</definedName>
    <definedName name="ü" localSheetId="2">#REF!</definedName>
    <definedName name="ü" localSheetId="3">#REF!</definedName>
    <definedName name="ü" localSheetId="31">#REF!</definedName>
    <definedName name="ü" localSheetId="32">#REF!</definedName>
    <definedName name="ü" localSheetId="34">#REF!</definedName>
    <definedName name="ü" localSheetId="28">#REF!</definedName>
    <definedName name="ü" localSheetId="39">#REF!</definedName>
    <definedName name="ü" localSheetId="30">#REF!</definedName>
    <definedName name="ü" localSheetId="4">#REF!</definedName>
    <definedName name="ü" localSheetId="40">#REF!</definedName>
    <definedName name="ü" localSheetId="5">#REF!</definedName>
    <definedName name="ü" localSheetId="6">#REF!</definedName>
    <definedName name="ü" localSheetId="7">#REF!</definedName>
    <definedName name="ü" localSheetId="8">#REF!</definedName>
    <definedName name="ü" localSheetId="9">#REF!</definedName>
    <definedName name="ü" localSheetId="10">#REF!</definedName>
    <definedName name="ü" localSheetId="33">#REF!</definedName>
    <definedName name="ü">#REF!</definedName>
    <definedName name="w" localSheetId="13">#REF!</definedName>
    <definedName name="w" localSheetId="31">#REF!</definedName>
    <definedName name="w" localSheetId="32">#REF!</definedName>
    <definedName name="w" localSheetId="34">#REF!</definedName>
    <definedName name="w" localSheetId="28">#REF!</definedName>
    <definedName name="w" localSheetId="39">#REF!</definedName>
    <definedName name="w" localSheetId="30">#REF!</definedName>
    <definedName name="w" localSheetId="40">#REF!</definedName>
    <definedName name="w" localSheetId="5">#REF!</definedName>
    <definedName name="w" localSheetId="8">#REF!</definedName>
    <definedName name="w" localSheetId="9">#REF!</definedName>
    <definedName name="w" localSheetId="33">#REF!</definedName>
    <definedName name="w">#REF!</definedName>
    <definedName name="X" localSheetId="11">#REF!</definedName>
    <definedName name="X" localSheetId="14">#REF!</definedName>
    <definedName name="X" localSheetId="13">#REF!</definedName>
    <definedName name="X" localSheetId="2">#REF!</definedName>
    <definedName name="X" localSheetId="3">#REF!</definedName>
    <definedName name="X" localSheetId="27">#REF!</definedName>
    <definedName name="X" localSheetId="31">#REF!</definedName>
    <definedName name="X" localSheetId="32">#REF!</definedName>
    <definedName name="X" localSheetId="34">#REF!</definedName>
    <definedName name="X" localSheetId="28">#REF!</definedName>
    <definedName name="X" localSheetId="29">#REF!</definedName>
    <definedName name="X" localSheetId="39">#REF!</definedName>
    <definedName name="X" localSheetId="30">#REF!</definedName>
    <definedName name="X" localSheetId="4">#REF!</definedName>
    <definedName name="X" localSheetId="40">#REF!</definedName>
    <definedName name="X" localSheetId="41">#REF!</definedName>
    <definedName name="X" localSheetId="5">#REF!</definedName>
    <definedName name="X" localSheetId="6">#REF!</definedName>
    <definedName name="X" localSheetId="7">#REF!</definedName>
    <definedName name="X" localSheetId="8">#REF!</definedName>
    <definedName name="X" localSheetId="9">#REF!</definedName>
    <definedName name="X" localSheetId="10">#REF!</definedName>
    <definedName name="X" localSheetId="33">#REF!</definedName>
    <definedName name="X" localSheetId="0">#N/A</definedName>
    <definedName name="X">#REF!</definedName>
    <definedName name="y" localSheetId="31">#REF!</definedName>
    <definedName name="y" localSheetId="32">#REF!</definedName>
    <definedName name="y" localSheetId="34">#REF!</definedName>
    <definedName name="y">#REF!</definedName>
    <definedName name="z" localSheetId="11">#REF!</definedName>
    <definedName name="z" localSheetId="14">#REF!</definedName>
    <definedName name="z" localSheetId="13">#REF!</definedName>
    <definedName name="z" localSheetId="2">#REF!</definedName>
    <definedName name="z" localSheetId="3">#REF!</definedName>
    <definedName name="z" localSheetId="31">#REF!</definedName>
    <definedName name="z" localSheetId="32">#REF!</definedName>
    <definedName name="z" localSheetId="34">#REF!</definedName>
    <definedName name="z" localSheetId="28">#REF!</definedName>
    <definedName name="z" localSheetId="39">#REF!</definedName>
    <definedName name="z" localSheetId="30">#REF!</definedName>
    <definedName name="z" localSheetId="4">#REF!</definedName>
    <definedName name="z" localSheetId="40">#REF!</definedName>
    <definedName name="z" localSheetId="5">#REF!</definedName>
    <definedName name="z" localSheetId="6">#REF!</definedName>
    <definedName name="z" localSheetId="7">#REF!</definedName>
    <definedName name="z" localSheetId="8">#REF!</definedName>
    <definedName name="z" localSheetId="9">#REF!</definedName>
    <definedName name="z" localSheetId="10">#REF!</definedName>
    <definedName name="z" localSheetId="33">#REF!</definedName>
    <definedName name="z">#REF!</definedName>
  </definedNames>
  <calcPr calcId="162913"/>
</workbook>
</file>

<file path=xl/calcChain.xml><?xml version="1.0" encoding="utf-8"?>
<calcChain xmlns="http://schemas.openxmlformats.org/spreadsheetml/2006/main">
  <c r="H25" i="110" l="1"/>
  <c r="H31" i="110" s="1"/>
  <c r="H26" i="110"/>
  <c r="H29" i="110"/>
  <c r="I31" i="110"/>
  <c r="N4" i="110"/>
  <c r="J31" i="110" l="1"/>
  <c r="H32" i="110"/>
  <c r="R43" i="6" l="1"/>
  <c r="R44" i="6"/>
  <c r="I29" i="87"/>
  <c r="S29" i="87"/>
  <c r="D9" i="126" l="1"/>
  <c r="D10" i="126"/>
  <c r="A3" i="126"/>
  <c r="C11" i="126"/>
  <c r="C17" i="126"/>
  <c r="C28" i="126"/>
  <c r="B39" i="126"/>
  <c r="C39" i="126"/>
  <c r="D8" i="126"/>
  <c r="D15" i="126"/>
  <c r="D16" i="126"/>
  <c r="D21" i="126"/>
  <c r="D25" i="126"/>
  <c r="D26" i="126"/>
  <c r="D27" i="126"/>
  <c r="D33" i="126"/>
  <c r="D36" i="126"/>
  <c r="D37" i="126"/>
  <c r="D38" i="126"/>
  <c r="D39" i="126" l="1"/>
  <c r="D17" i="126"/>
  <c r="D11" i="126"/>
  <c r="D28" i="126"/>
  <c r="G67" i="123"/>
  <c r="B22" i="121" l="1"/>
  <c r="I44" i="121"/>
  <c r="I38" i="121"/>
  <c r="I37" i="121" s="1"/>
  <c r="F32" i="113"/>
  <c r="K24" i="121"/>
  <c r="F26" i="115" l="1"/>
  <c r="H15" i="115"/>
  <c r="I55" i="121" l="1"/>
  <c r="I54" i="121"/>
  <c r="I53" i="121"/>
  <c r="I52" i="121"/>
  <c r="I57" i="121"/>
  <c r="I58" i="121"/>
  <c r="I48" i="121"/>
  <c r="I41" i="121"/>
  <c r="I49" i="121"/>
  <c r="J58" i="121" l="1"/>
  <c r="J23" i="121"/>
  <c r="I51" i="121" s="1"/>
  <c r="K23" i="121" l="1"/>
  <c r="L35" i="6" l="1"/>
  <c r="AC11" i="31" l="1"/>
  <c r="AD20" i="87"/>
  <c r="AC20" i="87"/>
  <c r="X20" i="87"/>
  <c r="U12" i="31"/>
  <c r="T12" i="31"/>
  <c r="T13" i="31" s="1"/>
  <c r="S12" i="31"/>
  <c r="S13" i="31" s="1"/>
  <c r="U11" i="31"/>
  <c r="T11" i="31"/>
  <c r="S11" i="31"/>
  <c r="P12" i="31"/>
  <c r="O12" i="31"/>
  <c r="N12" i="31"/>
  <c r="P11" i="31"/>
  <c r="O11" i="31"/>
  <c r="N11" i="31"/>
  <c r="K12" i="31"/>
  <c r="J12" i="31"/>
  <c r="J13" i="31" s="1"/>
  <c r="I12" i="31"/>
  <c r="I13" i="31" s="1"/>
  <c r="K11" i="31"/>
  <c r="K13" i="31" s="1"/>
  <c r="J11" i="31"/>
  <c r="I11" i="31"/>
  <c r="F12" i="31"/>
  <c r="D12" i="31"/>
  <c r="E11" i="31"/>
  <c r="Y11" i="31" s="1"/>
  <c r="D11" i="31"/>
  <c r="D13" i="31" s="1"/>
  <c r="U13" i="31"/>
  <c r="O13" i="31"/>
  <c r="N13" i="31"/>
  <c r="R11" i="31"/>
  <c r="H11" i="31"/>
  <c r="AB11" i="31" s="1"/>
  <c r="D23" i="87"/>
  <c r="F21" i="87"/>
  <c r="F20" i="87"/>
  <c r="G20" i="87" s="1"/>
  <c r="F22" i="87"/>
  <c r="E22" i="87"/>
  <c r="E20" i="87"/>
  <c r="Y20" i="87" s="1"/>
  <c r="E23" i="87"/>
  <c r="E21" i="87"/>
  <c r="E12" i="31" s="1"/>
  <c r="E13" i="31" s="1"/>
  <c r="E16" i="87"/>
  <c r="E14" i="87"/>
  <c r="F14" i="87"/>
  <c r="F23" i="87" l="1"/>
  <c r="Z20" i="87"/>
  <c r="AA20" i="87" s="1"/>
  <c r="F11" i="31"/>
  <c r="P13" i="31"/>
  <c r="AE20" i="87"/>
  <c r="AD11" i="31"/>
  <c r="Z11" i="31"/>
  <c r="AA11" i="31" s="1"/>
  <c r="F13" i="31"/>
  <c r="X11" i="31"/>
  <c r="G11" i="31"/>
  <c r="AF20" i="87" l="1"/>
  <c r="AE11" i="31"/>
  <c r="A3" i="125"/>
  <c r="A3" i="124"/>
  <c r="A119" i="123"/>
  <c r="B16" i="125"/>
  <c r="B14" i="125"/>
  <c r="B13" i="125"/>
  <c r="B12" i="125"/>
  <c r="B18" i="125" s="1"/>
  <c r="B20" i="125" s="1"/>
  <c r="O64" i="124"/>
  <c r="G64" i="124"/>
  <c r="G63" i="124"/>
  <c r="O63" i="124" s="1"/>
  <c r="O62" i="124"/>
  <c r="G62" i="124"/>
  <c r="G61" i="124"/>
  <c r="O61" i="124" s="1"/>
  <c r="N60" i="124"/>
  <c r="M60" i="124"/>
  <c r="M59" i="124" s="1"/>
  <c r="M58" i="124" s="1"/>
  <c r="M57" i="124" s="1"/>
  <c r="L60" i="124"/>
  <c r="L59" i="124" s="1"/>
  <c r="L58" i="124" s="1"/>
  <c r="L57" i="124" s="1"/>
  <c r="K60" i="124"/>
  <c r="K59" i="124" s="1"/>
  <c r="K58" i="124" s="1"/>
  <c r="K57" i="124" s="1"/>
  <c r="J60" i="124"/>
  <c r="I60" i="124"/>
  <c r="I59" i="124" s="1"/>
  <c r="I58" i="124" s="1"/>
  <c r="I57" i="124" s="1"/>
  <c r="H60" i="124"/>
  <c r="H59" i="124" s="1"/>
  <c r="H58" i="124" s="1"/>
  <c r="H57" i="124" s="1"/>
  <c r="G60" i="124"/>
  <c r="O60" i="124" s="1"/>
  <c r="F60" i="124"/>
  <c r="E60" i="124"/>
  <c r="E59" i="124" s="1"/>
  <c r="N59" i="124"/>
  <c r="N58" i="124" s="1"/>
  <c r="N57" i="124" s="1"/>
  <c r="J59" i="124"/>
  <c r="J58" i="124" s="1"/>
  <c r="J57" i="124" s="1"/>
  <c r="F59" i="124"/>
  <c r="F58" i="124" s="1"/>
  <c r="F57" i="124" s="1"/>
  <c r="O56" i="124"/>
  <c r="G56" i="124"/>
  <c r="G55" i="124"/>
  <c r="O55" i="124" s="1"/>
  <c r="O54" i="124"/>
  <c r="G54" i="124"/>
  <c r="G53" i="124"/>
  <c r="O53" i="124" s="1"/>
  <c r="O52" i="124"/>
  <c r="G52" i="124"/>
  <c r="N51" i="124"/>
  <c r="M51" i="124"/>
  <c r="L51" i="124"/>
  <c r="K51" i="124"/>
  <c r="J51" i="124"/>
  <c r="I51" i="124"/>
  <c r="H51" i="124"/>
  <c r="F51" i="124"/>
  <c r="E51" i="124"/>
  <c r="G51" i="124" s="1"/>
  <c r="O51" i="124" s="1"/>
  <c r="G50" i="124"/>
  <c r="O50" i="124" s="1"/>
  <c r="G49" i="124"/>
  <c r="O49" i="124" s="1"/>
  <c r="G48" i="124"/>
  <c r="O48" i="124" s="1"/>
  <c r="G47" i="124"/>
  <c r="O47" i="124" s="1"/>
  <c r="G46" i="124"/>
  <c r="O46" i="124" s="1"/>
  <c r="G45" i="124"/>
  <c r="O45" i="124" s="1"/>
  <c r="G44" i="124"/>
  <c r="O44" i="124" s="1"/>
  <c r="G43" i="124"/>
  <c r="O43" i="124" s="1"/>
  <c r="G42" i="124"/>
  <c r="O42" i="124" s="1"/>
  <c r="N41" i="124"/>
  <c r="N40" i="124" s="1"/>
  <c r="M41" i="124"/>
  <c r="L41" i="124"/>
  <c r="K41" i="124"/>
  <c r="K40" i="124" s="1"/>
  <c r="J41" i="124"/>
  <c r="J40" i="124" s="1"/>
  <c r="I41" i="124"/>
  <c r="H41" i="124"/>
  <c r="F41" i="124"/>
  <c r="G41" i="124" s="1"/>
  <c r="O41" i="124" s="1"/>
  <c r="E41" i="124"/>
  <c r="M40" i="124"/>
  <c r="L40" i="124"/>
  <c r="I40" i="124"/>
  <c r="H40" i="124"/>
  <c r="E40" i="124"/>
  <c r="G39" i="124"/>
  <c r="O39" i="124" s="1"/>
  <c r="G38" i="124"/>
  <c r="O38" i="124" s="1"/>
  <c r="G37" i="124"/>
  <c r="O37" i="124" s="1"/>
  <c r="G36" i="124"/>
  <c r="O36" i="124" s="1"/>
  <c r="G35" i="124"/>
  <c r="O35" i="124" s="1"/>
  <c r="N34" i="124"/>
  <c r="M34" i="124"/>
  <c r="L34" i="124"/>
  <c r="K34" i="124"/>
  <c r="J34" i="124"/>
  <c r="I34" i="124"/>
  <c r="H34" i="124"/>
  <c r="F34" i="124"/>
  <c r="G34" i="124" s="1"/>
  <c r="O34" i="124" s="1"/>
  <c r="E34" i="124"/>
  <c r="G33" i="124"/>
  <c r="O33" i="124" s="1"/>
  <c r="O32" i="124"/>
  <c r="G32" i="124"/>
  <c r="G31" i="124"/>
  <c r="O31" i="124" s="1"/>
  <c r="O30" i="124"/>
  <c r="G30" i="124"/>
  <c r="G29" i="124"/>
  <c r="O29" i="124" s="1"/>
  <c r="N28" i="124"/>
  <c r="M28" i="124"/>
  <c r="L28" i="124"/>
  <c r="K28" i="124"/>
  <c r="J28" i="124"/>
  <c r="I28" i="124"/>
  <c r="H28" i="124"/>
  <c r="G28" i="124"/>
  <c r="O28" i="124" s="1"/>
  <c r="F28" i="124"/>
  <c r="E28" i="124"/>
  <c r="G27" i="124"/>
  <c r="O27" i="124" s="1"/>
  <c r="E27" i="124"/>
  <c r="G26" i="124"/>
  <c r="O26" i="124" s="1"/>
  <c r="O25" i="124"/>
  <c r="G25" i="124"/>
  <c r="G24" i="124"/>
  <c r="O24" i="124" s="1"/>
  <c r="N23" i="124"/>
  <c r="M23" i="124"/>
  <c r="M22" i="124" s="1"/>
  <c r="L23" i="124"/>
  <c r="L22" i="124" s="1"/>
  <c r="K23" i="124"/>
  <c r="K22" i="124" s="1"/>
  <c r="J23" i="124"/>
  <c r="I23" i="124"/>
  <c r="I22" i="124" s="1"/>
  <c r="H23" i="124"/>
  <c r="H22" i="124" s="1"/>
  <c r="G23" i="124"/>
  <c r="O23" i="124" s="1"/>
  <c r="F23" i="124"/>
  <c r="E23" i="124"/>
  <c r="E22" i="124" s="1"/>
  <c r="G22" i="124" s="1"/>
  <c r="N22" i="124"/>
  <c r="J22" i="124"/>
  <c r="F22" i="124"/>
  <c r="G21" i="124"/>
  <c r="O21" i="124" s="1"/>
  <c r="O20" i="124"/>
  <c r="G20" i="124"/>
  <c r="G19" i="124"/>
  <c r="O19" i="124" s="1"/>
  <c r="O18" i="124"/>
  <c r="G18" i="124"/>
  <c r="G17" i="124"/>
  <c r="O17" i="124" s="1"/>
  <c r="N16" i="124"/>
  <c r="M16" i="124"/>
  <c r="L16" i="124"/>
  <c r="K16" i="124"/>
  <c r="J16" i="124"/>
  <c r="I16" i="124"/>
  <c r="H16" i="124"/>
  <c r="G16" i="124"/>
  <c r="O16" i="124" s="1"/>
  <c r="F16" i="124"/>
  <c r="E16" i="124"/>
  <c r="G15" i="124"/>
  <c r="O15" i="124" s="1"/>
  <c r="G14" i="124"/>
  <c r="O14" i="124" s="1"/>
  <c r="G13" i="124"/>
  <c r="O13" i="124" s="1"/>
  <c r="G12" i="124"/>
  <c r="O12" i="124" s="1"/>
  <c r="N11" i="124"/>
  <c r="N10" i="124" s="1"/>
  <c r="M11" i="124"/>
  <c r="L11" i="124"/>
  <c r="L10" i="124" s="1"/>
  <c r="L9" i="124" s="1"/>
  <c r="L65" i="124" s="1"/>
  <c r="K11" i="124"/>
  <c r="K10" i="124" s="1"/>
  <c r="J11" i="124"/>
  <c r="J10" i="124" s="1"/>
  <c r="I11" i="124"/>
  <c r="H11" i="124"/>
  <c r="H10" i="124" s="1"/>
  <c r="H9" i="124" s="1"/>
  <c r="H65" i="124" s="1"/>
  <c r="F11" i="124"/>
  <c r="G11" i="124" s="1"/>
  <c r="O11" i="124" s="1"/>
  <c r="E11" i="124"/>
  <c r="M10" i="124"/>
  <c r="M9" i="124" s="1"/>
  <c r="M65" i="124" s="1"/>
  <c r="I10" i="124"/>
  <c r="E10" i="124"/>
  <c r="G149" i="123"/>
  <c r="O149" i="123" s="1"/>
  <c r="G148" i="123"/>
  <c r="O148" i="123" s="1"/>
  <c r="G147" i="123"/>
  <c r="O147" i="123" s="1"/>
  <c r="G146" i="123"/>
  <c r="O146" i="123" s="1"/>
  <c r="G145" i="123"/>
  <c r="O145" i="123" s="1"/>
  <c r="G144" i="123"/>
  <c r="O144" i="123" s="1"/>
  <c r="G143" i="123"/>
  <c r="O143" i="123" s="1"/>
  <c r="N142" i="123"/>
  <c r="M142" i="123"/>
  <c r="L142" i="123"/>
  <c r="K142" i="123"/>
  <c r="J142" i="123"/>
  <c r="I142" i="123"/>
  <c r="H142" i="123"/>
  <c r="E142" i="123"/>
  <c r="G142" i="123" s="1"/>
  <c r="G141" i="123"/>
  <c r="O141" i="123" s="1"/>
  <c r="G140" i="123"/>
  <c r="O140" i="123" s="1"/>
  <c r="G139" i="123"/>
  <c r="O139" i="123" s="1"/>
  <c r="G138" i="123"/>
  <c r="O138" i="123" s="1"/>
  <c r="N137" i="123"/>
  <c r="M137" i="123"/>
  <c r="L137" i="123"/>
  <c r="K137" i="123"/>
  <c r="J137" i="123"/>
  <c r="I137" i="123"/>
  <c r="H137" i="123"/>
  <c r="E137" i="123"/>
  <c r="G137" i="123" s="1"/>
  <c r="G136" i="123"/>
  <c r="O136" i="123" s="1"/>
  <c r="G135" i="123"/>
  <c r="O135" i="123" s="1"/>
  <c r="G134" i="123"/>
  <c r="O134" i="123" s="1"/>
  <c r="G133" i="123"/>
  <c r="O133" i="123" s="1"/>
  <c r="N132" i="123"/>
  <c r="M132" i="123"/>
  <c r="L132" i="123"/>
  <c r="L131" i="123" s="1"/>
  <c r="K132" i="123"/>
  <c r="J132" i="123"/>
  <c r="J131" i="123" s="1"/>
  <c r="I132" i="123"/>
  <c r="I131" i="123" s="1"/>
  <c r="H132" i="123"/>
  <c r="H131" i="123" s="1"/>
  <c r="E132" i="123"/>
  <c r="G132" i="123" s="1"/>
  <c r="N131" i="123"/>
  <c r="M131" i="123"/>
  <c r="K131" i="123"/>
  <c r="G130" i="123"/>
  <c r="O130" i="123" s="1"/>
  <c r="G129" i="123"/>
  <c r="O129" i="123" s="1"/>
  <c r="G128" i="123"/>
  <c r="O128" i="123" s="1"/>
  <c r="G127" i="123"/>
  <c r="O127" i="123" s="1"/>
  <c r="I126" i="123"/>
  <c r="I125" i="123" s="1"/>
  <c r="G126" i="123"/>
  <c r="N125" i="123"/>
  <c r="M125" i="123"/>
  <c r="L125" i="123"/>
  <c r="K125" i="123"/>
  <c r="K150" i="123" s="1"/>
  <c r="J125" i="123"/>
  <c r="H125" i="123"/>
  <c r="G125" i="123"/>
  <c r="E125" i="123"/>
  <c r="G114" i="123"/>
  <c r="O114" i="123" s="1"/>
  <c r="G113" i="123"/>
  <c r="O113" i="123" s="1"/>
  <c r="G112" i="123"/>
  <c r="O112" i="123" s="1"/>
  <c r="G111" i="123"/>
  <c r="O111" i="123" s="1"/>
  <c r="N110" i="123"/>
  <c r="M110" i="123"/>
  <c r="K110" i="123"/>
  <c r="J110" i="123"/>
  <c r="I110" i="123"/>
  <c r="H110" i="123"/>
  <c r="F110" i="123"/>
  <c r="E110" i="123"/>
  <c r="G110" i="123" s="1"/>
  <c r="G109" i="123"/>
  <c r="O109" i="123" s="1"/>
  <c r="G108" i="123"/>
  <c r="O108" i="123" s="1"/>
  <c r="G107" i="123"/>
  <c r="O107" i="123" s="1"/>
  <c r="G106" i="123"/>
  <c r="O106" i="123" s="1"/>
  <c r="N105" i="123"/>
  <c r="M105" i="123"/>
  <c r="L105" i="123"/>
  <c r="K105" i="123"/>
  <c r="J105" i="123"/>
  <c r="I105" i="123"/>
  <c r="H105" i="123"/>
  <c r="E105" i="123"/>
  <c r="G105" i="123" s="1"/>
  <c r="G104" i="123"/>
  <c r="O104" i="123" s="1"/>
  <c r="G103" i="123"/>
  <c r="O103" i="123" s="1"/>
  <c r="G102" i="123"/>
  <c r="O102" i="123" s="1"/>
  <c r="G101" i="123"/>
  <c r="O101" i="123" s="1"/>
  <c r="N100" i="123"/>
  <c r="M100" i="123"/>
  <c r="L100" i="123"/>
  <c r="K100" i="123"/>
  <c r="J100" i="123"/>
  <c r="I100" i="123"/>
  <c r="H100" i="123"/>
  <c r="F100" i="123"/>
  <c r="E100" i="123"/>
  <c r="G100" i="123" s="1"/>
  <c r="O100" i="123" s="1"/>
  <c r="G99" i="123"/>
  <c r="O99" i="123" s="1"/>
  <c r="G98" i="123"/>
  <c r="O98" i="123" s="1"/>
  <c r="G97" i="123"/>
  <c r="O97" i="123" s="1"/>
  <c r="G96" i="123"/>
  <c r="O96" i="123" s="1"/>
  <c r="N95" i="123"/>
  <c r="M95" i="123"/>
  <c r="L95" i="123"/>
  <c r="K95" i="123"/>
  <c r="J95" i="123"/>
  <c r="I95" i="123"/>
  <c r="H95" i="123"/>
  <c r="F95" i="123"/>
  <c r="G95" i="123" s="1"/>
  <c r="O95" i="123" s="1"/>
  <c r="E95" i="123"/>
  <c r="G94" i="123"/>
  <c r="O94" i="123" s="1"/>
  <c r="G93" i="123"/>
  <c r="O93" i="123" s="1"/>
  <c r="G92" i="123"/>
  <c r="O92" i="123" s="1"/>
  <c r="G91" i="123"/>
  <c r="O91" i="123" s="1"/>
  <c r="N90" i="123"/>
  <c r="M90" i="123"/>
  <c r="L90" i="123"/>
  <c r="K90" i="123"/>
  <c r="J90" i="123"/>
  <c r="I90" i="123"/>
  <c r="I89" i="123" s="1"/>
  <c r="H90" i="123"/>
  <c r="F90" i="123"/>
  <c r="E90" i="123"/>
  <c r="E89" i="123" s="1"/>
  <c r="M89" i="123"/>
  <c r="G88" i="123"/>
  <c r="O88" i="123" s="1"/>
  <c r="G87" i="123"/>
  <c r="O87" i="123" s="1"/>
  <c r="G86" i="123"/>
  <c r="O86" i="123" s="1"/>
  <c r="G85" i="123"/>
  <c r="O85" i="123" s="1"/>
  <c r="G84" i="123"/>
  <c r="O84" i="123" s="1"/>
  <c r="G83" i="123"/>
  <c r="O83" i="123" s="1"/>
  <c r="N82" i="123"/>
  <c r="M82" i="123"/>
  <c r="L82" i="123"/>
  <c r="K82" i="123"/>
  <c r="J82" i="123"/>
  <c r="I82" i="123"/>
  <c r="I75" i="123" s="1"/>
  <c r="H82" i="123"/>
  <c r="H75" i="123" s="1"/>
  <c r="F82" i="123"/>
  <c r="E82" i="123"/>
  <c r="G82" i="123" s="1"/>
  <c r="G81" i="123"/>
  <c r="O81" i="123" s="1"/>
  <c r="G80" i="123"/>
  <c r="O80" i="123" s="1"/>
  <c r="G79" i="123"/>
  <c r="O79" i="123" s="1"/>
  <c r="G78" i="123"/>
  <c r="O78" i="123" s="1"/>
  <c r="N77" i="123"/>
  <c r="N75" i="123" s="1"/>
  <c r="M77" i="123"/>
  <c r="L77" i="123"/>
  <c r="K77" i="123"/>
  <c r="K75" i="123" s="1"/>
  <c r="J77" i="123"/>
  <c r="J75" i="123" s="1"/>
  <c r="I77" i="123"/>
  <c r="H77" i="123"/>
  <c r="F77" i="123"/>
  <c r="F75" i="123" s="1"/>
  <c r="E77" i="123"/>
  <c r="G77" i="123" s="1"/>
  <c r="O77" i="123" s="1"/>
  <c r="G76" i="123"/>
  <c r="O76" i="123" s="1"/>
  <c r="G74" i="123"/>
  <c r="O74" i="123" s="1"/>
  <c r="G73" i="123"/>
  <c r="O73" i="123" s="1"/>
  <c r="G72" i="123"/>
  <c r="O72" i="123" s="1"/>
  <c r="G71" i="123"/>
  <c r="O71" i="123" s="1"/>
  <c r="G70" i="123"/>
  <c r="O70" i="123" s="1"/>
  <c r="N69" i="123"/>
  <c r="M69" i="123"/>
  <c r="M68" i="123" s="1"/>
  <c r="M67" i="123" s="1"/>
  <c r="L69" i="123"/>
  <c r="K69" i="123"/>
  <c r="J69" i="123"/>
  <c r="I69" i="123"/>
  <c r="I68" i="123" s="1"/>
  <c r="I67" i="123" s="1"/>
  <c r="H69" i="123"/>
  <c r="H68" i="123" s="1"/>
  <c r="H67" i="123" s="1"/>
  <c r="F69" i="123"/>
  <c r="E69" i="123"/>
  <c r="G69" i="123" s="1"/>
  <c r="N68" i="123"/>
  <c r="N67" i="123" s="1"/>
  <c r="L68" i="123"/>
  <c r="L67" i="123" s="1"/>
  <c r="K68" i="123"/>
  <c r="J68" i="123"/>
  <c r="J67" i="123" s="1"/>
  <c r="F68" i="123"/>
  <c r="F67" i="123" s="1"/>
  <c r="K67" i="123"/>
  <c r="G66" i="123"/>
  <c r="O66" i="123" s="1"/>
  <c r="G65" i="123"/>
  <c r="O65" i="123" s="1"/>
  <c r="G64" i="123"/>
  <c r="O64" i="123" s="1"/>
  <c r="G63" i="123"/>
  <c r="O63" i="123" s="1"/>
  <c r="N62" i="123"/>
  <c r="N61" i="123" s="1"/>
  <c r="N60" i="123" s="1"/>
  <c r="N59" i="123" s="1"/>
  <c r="M62" i="123"/>
  <c r="L62" i="123"/>
  <c r="K62" i="123"/>
  <c r="J62" i="123"/>
  <c r="J61" i="123" s="1"/>
  <c r="J60" i="123" s="1"/>
  <c r="J59" i="123" s="1"/>
  <c r="I62" i="123"/>
  <c r="I61" i="123" s="1"/>
  <c r="I60" i="123" s="1"/>
  <c r="I59" i="123" s="1"/>
  <c r="H62" i="123"/>
  <c r="F62" i="123"/>
  <c r="F61" i="123" s="1"/>
  <c r="F60" i="123" s="1"/>
  <c r="F59" i="123" s="1"/>
  <c r="E62" i="123"/>
  <c r="G62" i="123" s="1"/>
  <c r="M61" i="123"/>
  <c r="M60" i="123" s="1"/>
  <c r="M59" i="123" s="1"/>
  <c r="L61" i="123"/>
  <c r="K61" i="123"/>
  <c r="K60" i="123" s="1"/>
  <c r="K59" i="123" s="1"/>
  <c r="H61" i="123"/>
  <c r="H60" i="123" s="1"/>
  <c r="H59" i="123" s="1"/>
  <c r="L60" i="123"/>
  <c r="L59" i="123" s="1"/>
  <c r="G58" i="123"/>
  <c r="O58" i="123" s="1"/>
  <c r="G57" i="123"/>
  <c r="O57" i="123" s="1"/>
  <c r="G56" i="123"/>
  <c r="O56" i="123" s="1"/>
  <c r="G55" i="123"/>
  <c r="O55" i="123" s="1"/>
  <c r="G54" i="123"/>
  <c r="O54" i="123" s="1"/>
  <c r="N53" i="123"/>
  <c r="M53" i="123"/>
  <c r="L53" i="123"/>
  <c r="K53" i="123"/>
  <c r="J53" i="123"/>
  <c r="I53" i="123"/>
  <c r="H53" i="123"/>
  <c r="F53" i="123"/>
  <c r="G53" i="123" s="1"/>
  <c r="O53" i="123" s="1"/>
  <c r="E53" i="123"/>
  <c r="G52" i="123"/>
  <c r="O52" i="123" s="1"/>
  <c r="G51" i="123"/>
  <c r="O51" i="123" s="1"/>
  <c r="G50" i="123"/>
  <c r="O50" i="123" s="1"/>
  <c r="G49" i="123"/>
  <c r="O49" i="123" s="1"/>
  <c r="G48" i="123"/>
  <c r="O48" i="123" s="1"/>
  <c r="G47" i="123"/>
  <c r="O47" i="123" s="1"/>
  <c r="O46" i="123"/>
  <c r="G46" i="123"/>
  <c r="G45" i="123"/>
  <c r="O45" i="123" s="1"/>
  <c r="G44" i="123"/>
  <c r="O44" i="123" s="1"/>
  <c r="N43" i="123"/>
  <c r="N42" i="123" s="1"/>
  <c r="M43" i="123"/>
  <c r="M42" i="123" s="1"/>
  <c r="L43" i="123"/>
  <c r="K43" i="123"/>
  <c r="J43" i="123"/>
  <c r="I43" i="123"/>
  <c r="I42" i="123" s="1"/>
  <c r="H43" i="123"/>
  <c r="F43" i="123"/>
  <c r="E43" i="123"/>
  <c r="L42" i="123"/>
  <c r="K42" i="123"/>
  <c r="J42" i="123"/>
  <c r="H42" i="123"/>
  <c r="G41" i="123"/>
  <c r="O41" i="123" s="1"/>
  <c r="G40" i="123"/>
  <c r="O40" i="123" s="1"/>
  <c r="G39" i="123"/>
  <c r="O39" i="123" s="1"/>
  <c r="G38" i="123"/>
  <c r="O38" i="123" s="1"/>
  <c r="G37" i="123"/>
  <c r="O37" i="123" s="1"/>
  <c r="N36" i="123"/>
  <c r="M36" i="123"/>
  <c r="L36" i="123"/>
  <c r="K36" i="123"/>
  <c r="J36" i="123"/>
  <c r="I36" i="123"/>
  <c r="H36" i="123"/>
  <c r="F36" i="123"/>
  <c r="E36" i="123"/>
  <c r="G36" i="123" s="1"/>
  <c r="G35" i="123"/>
  <c r="O35" i="123" s="1"/>
  <c r="G34" i="123"/>
  <c r="O34" i="123" s="1"/>
  <c r="G33" i="123"/>
  <c r="O33" i="123" s="1"/>
  <c r="G32" i="123"/>
  <c r="O32" i="123" s="1"/>
  <c r="G31" i="123"/>
  <c r="O31" i="123" s="1"/>
  <c r="N30" i="123"/>
  <c r="M30" i="123"/>
  <c r="L30" i="123"/>
  <c r="K30" i="123"/>
  <c r="J30" i="123"/>
  <c r="I30" i="123"/>
  <c r="H30" i="123"/>
  <c r="F30" i="123"/>
  <c r="E30" i="123"/>
  <c r="G30" i="123" s="1"/>
  <c r="G29" i="123"/>
  <c r="O29" i="123" s="1"/>
  <c r="G28" i="123"/>
  <c r="O28" i="123" s="1"/>
  <c r="G27" i="123"/>
  <c r="O27" i="123" s="1"/>
  <c r="G26" i="123"/>
  <c r="O26" i="123" s="1"/>
  <c r="N25" i="123"/>
  <c r="M25" i="123"/>
  <c r="L25" i="123"/>
  <c r="L24" i="123" s="1"/>
  <c r="K25" i="123"/>
  <c r="K24" i="123" s="1"/>
  <c r="J25" i="123"/>
  <c r="I25" i="123"/>
  <c r="H25" i="123"/>
  <c r="H24" i="123" s="1"/>
  <c r="F25" i="123"/>
  <c r="E25" i="123"/>
  <c r="G23" i="123"/>
  <c r="O23" i="123" s="1"/>
  <c r="G22" i="123"/>
  <c r="O22" i="123" s="1"/>
  <c r="G21" i="123"/>
  <c r="O21" i="123" s="1"/>
  <c r="G20" i="123"/>
  <c r="O20" i="123" s="1"/>
  <c r="G19" i="123"/>
  <c r="O19" i="123" s="1"/>
  <c r="N18" i="123"/>
  <c r="M18" i="123"/>
  <c r="L18" i="123"/>
  <c r="K18" i="123"/>
  <c r="J18" i="123"/>
  <c r="I18" i="123"/>
  <c r="H18" i="123"/>
  <c r="F18" i="123"/>
  <c r="E18" i="123"/>
  <c r="G18" i="123" s="1"/>
  <c r="G17" i="123"/>
  <c r="O17" i="123" s="1"/>
  <c r="G16" i="123"/>
  <c r="O16" i="123" s="1"/>
  <c r="G15" i="123"/>
  <c r="O15" i="123" s="1"/>
  <c r="G14" i="123"/>
  <c r="O14" i="123" s="1"/>
  <c r="N13" i="123"/>
  <c r="N12" i="123" s="1"/>
  <c r="M13" i="123"/>
  <c r="L13" i="123"/>
  <c r="K13" i="123"/>
  <c r="K12" i="123" s="1"/>
  <c r="J13" i="123"/>
  <c r="I13" i="123"/>
  <c r="H13" i="123"/>
  <c r="F13" i="123"/>
  <c r="F12" i="123" s="1"/>
  <c r="E13" i="123"/>
  <c r="G13" i="123" s="1"/>
  <c r="O13" i="123" s="1"/>
  <c r="AF11" i="31" l="1"/>
  <c r="J89" i="123"/>
  <c r="N89" i="123"/>
  <c r="O110" i="123"/>
  <c r="M150" i="123"/>
  <c r="O18" i="123"/>
  <c r="J12" i="123"/>
  <c r="F24" i="123"/>
  <c r="F11" i="123" s="1"/>
  <c r="F115" i="123" s="1"/>
  <c r="L75" i="123"/>
  <c r="O82" i="123"/>
  <c r="F89" i="123"/>
  <c r="F42" i="123"/>
  <c r="G25" i="123"/>
  <c r="O25" i="123" s="1"/>
  <c r="M75" i="123"/>
  <c r="O125" i="123"/>
  <c r="I24" i="123"/>
  <c r="M24" i="123"/>
  <c r="O30" i="123"/>
  <c r="J24" i="123"/>
  <c r="J11" i="123" s="1"/>
  <c r="J115" i="123" s="1"/>
  <c r="N24" i="123"/>
  <c r="N11" i="123" s="1"/>
  <c r="N115" i="123" s="1"/>
  <c r="O62" i="123"/>
  <c r="H89" i="123"/>
  <c r="L89" i="123"/>
  <c r="O126" i="123"/>
  <c r="O132" i="123"/>
  <c r="O137" i="123"/>
  <c r="O142" i="123"/>
  <c r="K89" i="123"/>
  <c r="K11" i="123"/>
  <c r="K115" i="123" s="1"/>
  <c r="O36" i="123"/>
  <c r="O69" i="123"/>
  <c r="I150" i="123"/>
  <c r="H150" i="123"/>
  <c r="L150" i="123"/>
  <c r="H12" i="123"/>
  <c r="H11" i="123" s="1"/>
  <c r="H115" i="123" s="1"/>
  <c r="L12" i="123"/>
  <c r="L11" i="123" s="1"/>
  <c r="L115" i="123" s="1"/>
  <c r="I12" i="123"/>
  <c r="I11" i="123" s="1"/>
  <c r="I115" i="123" s="1"/>
  <c r="M12" i="123"/>
  <c r="G43" i="123"/>
  <c r="O43" i="123" s="1"/>
  <c r="E61" i="123"/>
  <c r="G61" i="123" s="1"/>
  <c r="O61" i="123" s="1"/>
  <c r="E75" i="123"/>
  <c r="G75" i="123" s="1"/>
  <c r="O75" i="123" s="1"/>
  <c r="G90" i="123"/>
  <c r="O90" i="123" s="1"/>
  <c r="J150" i="123"/>
  <c r="N150" i="123"/>
  <c r="E131" i="123"/>
  <c r="G131" i="123" s="1"/>
  <c r="O131" i="123" s="1"/>
  <c r="G59" i="124"/>
  <c r="O59" i="124" s="1"/>
  <c r="E58" i="124"/>
  <c r="J9" i="124"/>
  <c r="J65" i="124" s="1"/>
  <c r="N9" i="124"/>
  <c r="N65" i="124" s="1"/>
  <c r="K9" i="124"/>
  <c r="K65" i="124" s="1"/>
  <c r="O22" i="124"/>
  <c r="I9" i="124"/>
  <c r="I65" i="124" s="1"/>
  <c r="F10" i="124"/>
  <c r="F9" i="124" s="1"/>
  <c r="F65" i="124" s="1"/>
  <c r="F40" i="124"/>
  <c r="G40" i="124" s="1"/>
  <c r="O40" i="124" s="1"/>
  <c r="G10" i="124"/>
  <c r="O10" i="124" s="1"/>
  <c r="G89" i="123"/>
  <c r="M11" i="123"/>
  <c r="M115" i="123" s="1"/>
  <c r="O105" i="123"/>
  <c r="E24" i="123"/>
  <c r="G24" i="123" s="1"/>
  <c r="E42" i="123"/>
  <c r="G42" i="123" s="1"/>
  <c r="O42" i="123" s="1"/>
  <c r="E68" i="123"/>
  <c r="E12" i="123"/>
  <c r="P19" i="45"/>
  <c r="A4" i="113"/>
  <c r="E150" i="123" l="1"/>
  <c r="G150" i="123" s="1"/>
  <c r="O150" i="123" s="1"/>
  <c r="O24" i="123"/>
  <c r="E60" i="123"/>
  <c r="G60" i="123" s="1"/>
  <c r="O60" i="123" s="1"/>
  <c r="O89" i="123"/>
  <c r="G58" i="124"/>
  <c r="O58" i="124" s="1"/>
  <c r="E57" i="124"/>
  <c r="G12" i="123"/>
  <c r="O12" i="123" s="1"/>
  <c r="G68" i="123"/>
  <c r="O68" i="123" s="1"/>
  <c r="E67" i="123"/>
  <c r="O67" i="123" s="1"/>
  <c r="E59" i="123" l="1"/>
  <c r="G59" i="123" s="1"/>
  <c r="O59" i="123" s="1"/>
  <c r="G57" i="124"/>
  <c r="O57" i="124" s="1"/>
  <c r="E9" i="124"/>
  <c r="E11" i="123"/>
  <c r="E56" i="101"/>
  <c r="N56" i="101"/>
  <c r="N47" i="101"/>
  <c r="N46" i="101"/>
  <c r="N45" i="101"/>
  <c r="G9" i="124" l="1"/>
  <c r="E65" i="124"/>
  <c r="E115" i="123"/>
  <c r="G115" i="123" s="1"/>
  <c r="O115" i="123" s="1"/>
  <c r="G11" i="123"/>
  <c r="O11" i="123" s="1"/>
  <c r="P20" i="45"/>
  <c r="J19" i="45"/>
  <c r="G65" i="124" l="1"/>
  <c r="O9" i="124"/>
  <c r="O65" i="124" s="1"/>
  <c r="O17" i="45"/>
  <c r="O40" i="45"/>
  <c r="F54" i="115" l="1"/>
  <c r="H54" i="115" s="1"/>
  <c r="F53" i="115"/>
  <c r="H53" i="115" s="1"/>
  <c r="F51" i="115"/>
  <c r="F50" i="115"/>
  <c r="F49" i="115"/>
  <c r="H49" i="115" s="1"/>
  <c r="F48" i="115"/>
  <c r="F47" i="115"/>
  <c r="H47" i="115" s="1"/>
  <c r="F45" i="115"/>
  <c r="F44" i="115"/>
  <c r="F43" i="115"/>
  <c r="H43" i="115" s="1"/>
  <c r="F42" i="115"/>
  <c r="F41" i="115"/>
  <c r="H41" i="115" s="1"/>
  <c r="F29" i="115"/>
  <c r="H29" i="115" s="1"/>
  <c r="F28" i="115"/>
  <c r="H28" i="115" s="1"/>
  <c r="F27" i="115"/>
  <c r="H27" i="115" s="1"/>
  <c r="H26" i="115"/>
  <c r="F25" i="115"/>
  <c r="H25" i="115" s="1"/>
  <c r="F24" i="115"/>
  <c r="H24" i="115" s="1"/>
  <c r="F23" i="115"/>
  <c r="F22" i="115"/>
  <c r="H22" i="115" s="1"/>
  <c r="F18" i="115"/>
  <c r="F17" i="115"/>
  <c r="H17" i="115" s="1"/>
  <c r="F16" i="115"/>
  <c r="H16" i="115" s="1"/>
  <c r="F15" i="115"/>
  <c r="H42" i="115"/>
  <c r="H44" i="115"/>
  <c r="H45" i="115"/>
  <c r="H46" i="115"/>
  <c r="H48" i="115"/>
  <c r="H50" i="115"/>
  <c r="H51" i="115"/>
  <c r="H52" i="115"/>
  <c r="H23" i="115"/>
  <c r="H18" i="115"/>
  <c r="A3" i="122"/>
  <c r="A71" i="122" s="1"/>
  <c r="K8" i="121" l="1"/>
  <c r="J8" i="121"/>
  <c r="J44" i="121"/>
  <c r="J38" i="121"/>
  <c r="J57" i="121" s="1"/>
  <c r="J59" i="121" s="1"/>
  <c r="J37" i="121"/>
  <c r="A32" i="121"/>
  <c r="D28" i="121"/>
  <c r="G21" i="121"/>
  <c r="I20" i="121"/>
  <c r="H20" i="121"/>
  <c r="G20" i="121"/>
  <c r="F20" i="121"/>
  <c r="E20" i="121"/>
  <c r="D20" i="121"/>
  <c r="C20" i="121"/>
  <c r="B20" i="121"/>
  <c r="J19" i="121"/>
  <c r="K19" i="121" s="1"/>
  <c r="J18" i="121"/>
  <c r="K18" i="121" s="1"/>
  <c r="I17" i="121"/>
  <c r="I21" i="121" s="1"/>
  <c r="I26" i="121" s="1"/>
  <c r="H17" i="121"/>
  <c r="H21" i="121" s="1"/>
  <c r="H26" i="121" s="1"/>
  <c r="G17" i="121"/>
  <c r="F17" i="121"/>
  <c r="J17" i="121" s="1"/>
  <c r="E17" i="121"/>
  <c r="E21" i="121" s="1"/>
  <c r="E26" i="121" s="1"/>
  <c r="D17" i="121"/>
  <c r="D21" i="121" s="1"/>
  <c r="D26" i="121" s="1"/>
  <c r="C17" i="121"/>
  <c r="C21" i="121" s="1"/>
  <c r="C25" i="121" s="1"/>
  <c r="B17" i="121"/>
  <c r="B21" i="121" s="1"/>
  <c r="B26" i="121" s="1"/>
  <c r="J16" i="121"/>
  <c r="K16" i="121" s="1"/>
  <c r="J15" i="121"/>
  <c r="K15" i="121" s="1"/>
  <c r="K17" i="121" s="1"/>
  <c r="I13" i="121"/>
  <c r="H13" i="121"/>
  <c r="H14" i="121" s="1"/>
  <c r="G13" i="121"/>
  <c r="F13" i="121"/>
  <c r="J13" i="121" s="1"/>
  <c r="E13" i="121"/>
  <c r="D13" i="121"/>
  <c r="D14" i="121" s="1"/>
  <c r="D24" i="121" s="1"/>
  <c r="D29" i="121" s="1"/>
  <c r="C13" i="121"/>
  <c r="B13" i="121"/>
  <c r="J12" i="121"/>
  <c r="K12" i="121" s="1"/>
  <c r="J11" i="121"/>
  <c r="K11" i="121" s="1"/>
  <c r="K13" i="121" s="1"/>
  <c r="I10" i="121"/>
  <c r="I14" i="121" s="1"/>
  <c r="H10" i="121"/>
  <c r="G10" i="121"/>
  <c r="G14" i="121" s="1"/>
  <c r="F10" i="121"/>
  <c r="F14" i="121" s="1"/>
  <c r="E10" i="121"/>
  <c r="E14" i="121" s="1"/>
  <c r="D10" i="121"/>
  <c r="C10" i="121"/>
  <c r="C14" i="121" s="1"/>
  <c r="B10" i="121"/>
  <c r="K9" i="121"/>
  <c r="J9" i="121"/>
  <c r="C24" i="121" l="1"/>
  <c r="C27" i="121"/>
  <c r="G24" i="121"/>
  <c r="G29" i="121" s="1"/>
  <c r="G27" i="121"/>
  <c r="F24" i="121"/>
  <c r="H24" i="121"/>
  <c r="H27" i="121"/>
  <c r="E22" i="121"/>
  <c r="E27" i="121"/>
  <c r="I22" i="121"/>
  <c r="I27" i="121"/>
  <c r="B14" i="121"/>
  <c r="B24" i="121" s="1"/>
  <c r="J10" i="121"/>
  <c r="J14" i="121" s="1"/>
  <c r="J24" i="121" s="1"/>
  <c r="F21" i="121"/>
  <c r="F26" i="121" s="1"/>
  <c r="G25" i="121"/>
  <c r="J25" i="121" s="1"/>
  <c r="G26" i="121"/>
  <c r="C26" i="121"/>
  <c r="K20" i="121"/>
  <c r="K21" i="121" s="1"/>
  <c r="J20" i="121"/>
  <c r="J21" i="121" s="1"/>
  <c r="J22" i="121" s="1"/>
  <c r="K10" i="121"/>
  <c r="K14" i="121"/>
  <c r="G28" i="121"/>
  <c r="H29" i="121"/>
  <c r="H28" i="121"/>
  <c r="D22" i="121"/>
  <c r="E24" i="121"/>
  <c r="I24" i="121"/>
  <c r="H22" i="121"/>
  <c r="C22" i="121"/>
  <c r="G22" i="121"/>
  <c r="J26" i="121" l="1"/>
  <c r="J27" i="121"/>
  <c r="K27" i="121" s="1"/>
  <c r="F27" i="121"/>
  <c r="F28" i="121" s="1"/>
  <c r="F22" i="121"/>
  <c r="K26" i="121"/>
  <c r="K22" i="121"/>
  <c r="K25" i="121"/>
  <c r="I28" i="121"/>
  <c r="E29" i="121"/>
  <c r="J29" i="121" l="1"/>
  <c r="F29" i="121"/>
  <c r="C28" i="121"/>
  <c r="C29" i="121"/>
  <c r="E28" i="121"/>
  <c r="J28" i="121" s="1"/>
  <c r="K28" i="121" s="1"/>
  <c r="K29" i="121" s="1"/>
  <c r="I29" i="121"/>
  <c r="B28" i="121" l="1"/>
  <c r="B29" i="121" l="1"/>
  <c r="O9" i="68"/>
  <c r="I59" i="121" l="1"/>
  <c r="Q22" i="87" l="1"/>
  <c r="E53" i="115" l="1"/>
  <c r="E52" i="115"/>
  <c r="E51" i="115"/>
  <c r="E50" i="115"/>
  <c r="E49" i="115"/>
  <c r="E48" i="115"/>
  <c r="C48" i="115"/>
  <c r="E47" i="115"/>
  <c r="E46" i="115"/>
  <c r="E45" i="115"/>
  <c r="E44" i="115"/>
  <c r="E43" i="115"/>
  <c r="E42" i="115"/>
  <c r="E41" i="115"/>
  <c r="C41" i="115"/>
  <c r="C54" i="115" s="1"/>
  <c r="E54" i="115" s="1"/>
  <c r="E28" i="115"/>
  <c r="E27" i="115"/>
  <c r="E26" i="115"/>
  <c r="E25" i="115"/>
  <c r="E24" i="115"/>
  <c r="E23" i="115"/>
  <c r="C22" i="115"/>
  <c r="E22" i="115" s="1"/>
  <c r="E20" i="115"/>
  <c r="E18" i="115"/>
  <c r="E17" i="115"/>
  <c r="E16" i="115"/>
  <c r="C15" i="115"/>
  <c r="E15" i="115" s="1"/>
  <c r="A3" i="115"/>
  <c r="A3" i="114"/>
  <c r="C29" i="115" l="1"/>
  <c r="E29" i="115" s="1"/>
  <c r="B32" i="113" l="1"/>
  <c r="C28" i="113"/>
  <c r="B28" i="113"/>
  <c r="C15" i="113"/>
  <c r="C32" i="113" s="1"/>
  <c r="B14" i="113"/>
  <c r="B13" i="113"/>
  <c r="C12" i="113"/>
  <c r="B12" i="113"/>
  <c r="D23" i="101" l="1"/>
  <c r="AD23" i="45" l="1"/>
  <c r="O36" i="45"/>
  <c r="O13" i="45"/>
  <c r="T25" i="31" l="1"/>
  <c r="F56" i="40" l="1"/>
  <c r="G25" i="6" l="1"/>
  <c r="G36" i="6"/>
  <c r="G24" i="6"/>
  <c r="J47" i="101"/>
  <c r="O23" i="101" l="1"/>
  <c r="P23" i="101"/>
  <c r="J67" i="109"/>
  <c r="J63" i="109"/>
  <c r="J61" i="109"/>
  <c r="J47" i="109"/>
  <c r="J46" i="108"/>
  <c r="M17" i="97" l="1"/>
  <c r="M12" i="97"/>
  <c r="I17" i="97"/>
  <c r="I12" i="97"/>
  <c r="I73" i="104"/>
  <c r="I66" i="104"/>
  <c r="I68" i="104" s="1"/>
  <c r="L40" i="104"/>
  <c r="K40" i="104"/>
  <c r="I74" i="104" l="1"/>
  <c r="AA30" i="45" l="1"/>
  <c r="AA20" i="45"/>
  <c r="V38" i="45"/>
  <c r="V20" i="45"/>
  <c r="G10" i="45"/>
  <c r="AF29" i="31"/>
  <c r="AF27" i="31"/>
  <c r="AA27" i="31"/>
  <c r="AA29" i="31"/>
  <c r="Q25" i="31"/>
  <c r="Q22" i="31"/>
  <c r="Q44" i="31"/>
  <c r="Q42" i="31"/>
  <c r="Q20" i="31"/>
  <c r="Q19" i="31"/>
  <c r="AF34" i="68"/>
  <c r="AF32" i="68"/>
  <c r="AF31" i="68"/>
  <c r="AF30" i="68"/>
  <c r="AF28" i="68"/>
  <c r="AA32" i="68"/>
  <c r="AA31" i="68"/>
  <c r="AA30" i="68"/>
  <c r="AA28" i="68"/>
  <c r="Q21" i="68"/>
  <c r="Q10" i="68"/>
  <c r="Q11" i="68"/>
  <c r="Q12" i="68"/>
  <c r="Q13" i="68"/>
  <c r="Q9" i="68"/>
  <c r="U23" i="87" l="1"/>
  <c r="H23" i="103"/>
  <c r="H29" i="103" s="1"/>
  <c r="I23" i="103"/>
  <c r="I29" i="103"/>
  <c r="I32" i="103" s="1"/>
  <c r="H30" i="103"/>
  <c r="H33" i="103" s="1"/>
  <c r="I30" i="103"/>
  <c r="I31" i="103"/>
  <c r="I33" i="103"/>
  <c r="H39" i="103"/>
  <c r="I39" i="103"/>
  <c r="I40" i="103"/>
  <c r="K45" i="103"/>
  <c r="K46" i="103"/>
  <c r="K47" i="103"/>
  <c r="L47" i="103"/>
  <c r="M47" i="103"/>
  <c r="K48" i="103"/>
  <c r="K49" i="103"/>
  <c r="L49" i="103"/>
  <c r="M49" i="103"/>
  <c r="K50" i="103"/>
  <c r="L50" i="103"/>
  <c r="M50" i="103"/>
  <c r="K51" i="103"/>
  <c r="L51" i="103"/>
  <c r="M51" i="103"/>
  <c r="K52" i="103"/>
  <c r="L52" i="103"/>
  <c r="M52" i="103"/>
  <c r="K53" i="103"/>
  <c r="L53" i="103"/>
  <c r="M53" i="103"/>
  <c r="K54" i="103"/>
  <c r="K55" i="103"/>
  <c r="K56" i="103"/>
  <c r="L56" i="103"/>
  <c r="M56" i="103"/>
  <c r="K57" i="103"/>
  <c r="L57" i="103"/>
  <c r="M57" i="103"/>
  <c r="K58" i="103"/>
  <c r="L58" i="103"/>
  <c r="M58" i="103"/>
  <c r="K59" i="103"/>
  <c r="L59" i="103"/>
  <c r="M59" i="103"/>
  <c r="K60" i="103"/>
  <c r="K61" i="103"/>
  <c r="K62" i="103"/>
  <c r="K63" i="103"/>
  <c r="L63" i="103"/>
  <c r="M63" i="103"/>
  <c r="K64" i="103"/>
  <c r="L64" i="103"/>
  <c r="M64" i="103"/>
  <c r="K65" i="103"/>
  <c r="L65" i="103"/>
  <c r="M65" i="103"/>
  <c r="K66" i="103"/>
  <c r="H60" i="103"/>
  <c r="I60" i="103"/>
  <c r="H61" i="103"/>
  <c r="H62" i="103" s="1"/>
  <c r="H66" i="103" s="1"/>
  <c r="I61" i="103"/>
  <c r="I62" i="103" s="1"/>
  <c r="I66" i="103" s="1"/>
  <c r="H65" i="103"/>
  <c r="I65" i="103"/>
  <c r="D65" i="103"/>
  <c r="E65" i="103"/>
  <c r="E55" i="103"/>
  <c r="C54" i="103"/>
  <c r="E48" i="103"/>
  <c r="E45" i="103"/>
  <c r="E46" i="103"/>
  <c r="K10" i="103"/>
  <c r="L10" i="103"/>
  <c r="M10" i="103"/>
  <c r="K11" i="103"/>
  <c r="L11" i="103"/>
  <c r="M11" i="103"/>
  <c r="K12" i="103"/>
  <c r="L12" i="103"/>
  <c r="M12" i="103"/>
  <c r="K13" i="103"/>
  <c r="L13" i="103"/>
  <c r="M13" i="103"/>
  <c r="K14" i="103"/>
  <c r="L14" i="103"/>
  <c r="M14" i="103"/>
  <c r="K15" i="103"/>
  <c r="L15" i="103"/>
  <c r="M15" i="103"/>
  <c r="K16" i="103"/>
  <c r="L16" i="103"/>
  <c r="M16" i="103"/>
  <c r="K17" i="103"/>
  <c r="L17" i="103"/>
  <c r="M17" i="103"/>
  <c r="K18" i="103"/>
  <c r="K19" i="103"/>
  <c r="L19" i="103"/>
  <c r="M19" i="103"/>
  <c r="K20" i="103"/>
  <c r="L20" i="103"/>
  <c r="M20" i="103"/>
  <c r="K21" i="103"/>
  <c r="K22" i="103"/>
  <c r="L22" i="103"/>
  <c r="M22" i="103"/>
  <c r="K23" i="103"/>
  <c r="K24" i="103"/>
  <c r="L24" i="103"/>
  <c r="M24" i="103"/>
  <c r="K25" i="103"/>
  <c r="L25" i="103"/>
  <c r="M25" i="103"/>
  <c r="K26" i="103"/>
  <c r="L26" i="103"/>
  <c r="M26" i="103"/>
  <c r="K27" i="103"/>
  <c r="L27" i="103"/>
  <c r="M27" i="103"/>
  <c r="K28" i="103"/>
  <c r="L28" i="103"/>
  <c r="M28" i="103"/>
  <c r="K29" i="103"/>
  <c r="K30" i="103"/>
  <c r="L30" i="103"/>
  <c r="M30" i="103"/>
  <c r="K31" i="103"/>
  <c r="K33" i="103"/>
  <c r="K34" i="103"/>
  <c r="L34" i="103"/>
  <c r="M34" i="103"/>
  <c r="K35" i="103"/>
  <c r="K36" i="103"/>
  <c r="L36" i="103"/>
  <c r="M36" i="103"/>
  <c r="K37" i="103"/>
  <c r="K38" i="103"/>
  <c r="K39" i="103"/>
  <c r="K40" i="103"/>
  <c r="L9" i="103"/>
  <c r="M9" i="103"/>
  <c r="E38" i="103"/>
  <c r="E35" i="103"/>
  <c r="D35" i="103"/>
  <c r="L35" i="103" s="1"/>
  <c r="D30" i="103"/>
  <c r="E30" i="103"/>
  <c r="C23" i="103"/>
  <c r="E21" i="103"/>
  <c r="E18" i="103"/>
  <c r="D18" i="103"/>
  <c r="L18" i="103" s="1"/>
  <c r="K45" i="102"/>
  <c r="K46" i="102"/>
  <c r="K47" i="102"/>
  <c r="L47" i="102"/>
  <c r="M47" i="102"/>
  <c r="K48" i="102"/>
  <c r="K49" i="102"/>
  <c r="L49" i="102"/>
  <c r="M49" i="102"/>
  <c r="K50" i="102"/>
  <c r="L50" i="102"/>
  <c r="M50" i="102"/>
  <c r="K51" i="102"/>
  <c r="L51" i="102"/>
  <c r="M51" i="102"/>
  <c r="K52" i="102"/>
  <c r="L52" i="102"/>
  <c r="M52" i="102"/>
  <c r="K53" i="102"/>
  <c r="L53" i="102"/>
  <c r="M53" i="102"/>
  <c r="K54" i="102"/>
  <c r="K55" i="102"/>
  <c r="K56" i="102"/>
  <c r="L56" i="102"/>
  <c r="M56" i="102"/>
  <c r="K57" i="102"/>
  <c r="L57" i="102"/>
  <c r="M57" i="102"/>
  <c r="K58" i="102"/>
  <c r="L58" i="102"/>
  <c r="M58" i="102"/>
  <c r="K59" i="102"/>
  <c r="L59" i="102"/>
  <c r="M59" i="102"/>
  <c r="K60" i="102"/>
  <c r="K61" i="102"/>
  <c r="K62" i="102"/>
  <c r="K63" i="102"/>
  <c r="L63" i="102"/>
  <c r="M63" i="102"/>
  <c r="K64" i="102"/>
  <c r="L64" i="102"/>
  <c r="M64" i="102"/>
  <c r="K65" i="102"/>
  <c r="L65" i="102"/>
  <c r="M65" i="102"/>
  <c r="K66" i="102"/>
  <c r="H60" i="102"/>
  <c r="I60" i="102"/>
  <c r="H61" i="102"/>
  <c r="I61" i="102"/>
  <c r="I62" i="102" s="1"/>
  <c r="I66" i="102" s="1"/>
  <c r="H62" i="102"/>
  <c r="H65" i="102"/>
  <c r="I65" i="102"/>
  <c r="H66" i="102"/>
  <c r="E55" i="102"/>
  <c r="C54" i="102"/>
  <c r="E48" i="102"/>
  <c r="E45" i="102"/>
  <c r="E46" i="102"/>
  <c r="H23" i="102"/>
  <c r="I23" i="102"/>
  <c r="H29" i="102"/>
  <c r="H32" i="102" s="1"/>
  <c r="I29" i="102"/>
  <c r="H30" i="102"/>
  <c r="I30" i="102"/>
  <c r="H33" i="102"/>
  <c r="H39" i="102"/>
  <c r="I39" i="102"/>
  <c r="E38" i="102"/>
  <c r="E35" i="102"/>
  <c r="D30" i="102"/>
  <c r="E30" i="102"/>
  <c r="K10" i="102"/>
  <c r="L10" i="102"/>
  <c r="M10" i="102"/>
  <c r="K11" i="102"/>
  <c r="L11" i="102"/>
  <c r="M11" i="102"/>
  <c r="K12" i="102"/>
  <c r="L12" i="102"/>
  <c r="M12" i="102"/>
  <c r="K13" i="102"/>
  <c r="L13" i="102"/>
  <c r="M13" i="102"/>
  <c r="K14" i="102"/>
  <c r="L14" i="102"/>
  <c r="M14" i="102"/>
  <c r="K15" i="102"/>
  <c r="L15" i="102"/>
  <c r="M15" i="102"/>
  <c r="K16" i="102"/>
  <c r="L16" i="102"/>
  <c r="M16" i="102"/>
  <c r="K17" i="102"/>
  <c r="L17" i="102"/>
  <c r="M17" i="102"/>
  <c r="K18" i="102"/>
  <c r="K19" i="102"/>
  <c r="L19" i="102"/>
  <c r="M19" i="102"/>
  <c r="K20" i="102"/>
  <c r="L20" i="102"/>
  <c r="M20" i="102"/>
  <c r="K21" i="102"/>
  <c r="L21" i="102"/>
  <c r="M21" i="102"/>
  <c r="K22" i="102"/>
  <c r="L22" i="102"/>
  <c r="M22" i="102"/>
  <c r="K23" i="102"/>
  <c r="K24" i="102"/>
  <c r="L24" i="102"/>
  <c r="M24" i="102"/>
  <c r="K25" i="102"/>
  <c r="L25" i="102"/>
  <c r="M25" i="102"/>
  <c r="K26" i="102"/>
  <c r="L26" i="102"/>
  <c r="M26" i="102"/>
  <c r="K27" i="102"/>
  <c r="L27" i="102"/>
  <c r="M27" i="102"/>
  <c r="K28" i="102"/>
  <c r="L28" i="102"/>
  <c r="M28" i="102"/>
  <c r="K29" i="102"/>
  <c r="K30" i="102"/>
  <c r="L30" i="102"/>
  <c r="K31" i="102"/>
  <c r="K33" i="102"/>
  <c r="K34" i="102"/>
  <c r="L34" i="102"/>
  <c r="M34" i="102"/>
  <c r="K35" i="102"/>
  <c r="K36" i="102"/>
  <c r="L36" i="102"/>
  <c r="M36" i="102"/>
  <c r="K37" i="102"/>
  <c r="K38" i="102"/>
  <c r="K39" i="102"/>
  <c r="K40" i="102"/>
  <c r="L9" i="102"/>
  <c r="M9" i="102"/>
  <c r="E18" i="102"/>
  <c r="D18" i="102"/>
  <c r="D23" i="102" s="1"/>
  <c r="L23" i="102" s="1"/>
  <c r="O46" i="101"/>
  <c r="O47" i="101"/>
  <c r="O48" i="101"/>
  <c r="P48" i="101"/>
  <c r="Q48" i="101"/>
  <c r="O49" i="101"/>
  <c r="O50" i="101"/>
  <c r="P50" i="101"/>
  <c r="Q50" i="101"/>
  <c r="O51" i="101"/>
  <c r="P51" i="101"/>
  <c r="Q51" i="101"/>
  <c r="O52" i="101"/>
  <c r="P52" i="101"/>
  <c r="Q52" i="101"/>
  <c r="O53" i="101"/>
  <c r="P53" i="101"/>
  <c r="Q53" i="101"/>
  <c r="O54" i="101"/>
  <c r="P54" i="101"/>
  <c r="Q54" i="101"/>
  <c r="O55" i="101"/>
  <c r="O56" i="101"/>
  <c r="O57" i="101"/>
  <c r="P57" i="101"/>
  <c r="Q57" i="101"/>
  <c r="O58" i="101"/>
  <c r="P58" i="101"/>
  <c r="Q58" i="101"/>
  <c r="O59" i="101"/>
  <c r="P59" i="101"/>
  <c r="Q59" i="101"/>
  <c r="O60" i="101"/>
  <c r="P60" i="101"/>
  <c r="Q60" i="101"/>
  <c r="O64" i="101"/>
  <c r="P64" i="101"/>
  <c r="Q64" i="101"/>
  <c r="O65" i="101"/>
  <c r="P65" i="101"/>
  <c r="Q65" i="101"/>
  <c r="L61" i="101"/>
  <c r="M61" i="101"/>
  <c r="L62" i="101"/>
  <c r="M62" i="101"/>
  <c r="L63" i="101"/>
  <c r="L67" i="101" s="1"/>
  <c r="L66" i="101"/>
  <c r="M66" i="101"/>
  <c r="H61" i="101"/>
  <c r="I61" i="101"/>
  <c r="J61" i="101" s="1"/>
  <c r="H62" i="101"/>
  <c r="I62" i="101"/>
  <c r="H63" i="101"/>
  <c r="H67" i="101" s="1"/>
  <c r="H66" i="101"/>
  <c r="I66" i="101"/>
  <c r="Q66" i="101" s="1"/>
  <c r="D66" i="101"/>
  <c r="P66" i="101" s="1"/>
  <c r="E66" i="101"/>
  <c r="E49" i="101"/>
  <c r="E46" i="101"/>
  <c r="E47" i="101"/>
  <c r="P35" i="101"/>
  <c r="Q35" i="101"/>
  <c r="P37" i="101"/>
  <c r="Q37" i="101"/>
  <c r="L31" i="101"/>
  <c r="L34" i="101" s="1"/>
  <c r="M31" i="101"/>
  <c r="L40" i="101"/>
  <c r="M40" i="101"/>
  <c r="H40" i="101"/>
  <c r="I40" i="101"/>
  <c r="H31" i="101"/>
  <c r="I31" i="101"/>
  <c r="H34" i="101"/>
  <c r="E39" i="101"/>
  <c r="C38" i="109"/>
  <c r="E36" i="101"/>
  <c r="E26" i="101"/>
  <c r="D31" i="101"/>
  <c r="E31" i="101"/>
  <c r="E23" i="101"/>
  <c r="Q23" i="101" s="1"/>
  <c r="O10" i="101"/>
  <c r="P10" i="101"/>
  <c r="Q10" i="101"/>
  <c r="O11" i="101"/>
  <c r="P11" i="101"/>
  <c r="Q11" i="101"/>
  <c r="O12" i="101"/>
  <c r="P12" i="101"/>
  <c r="Q12" i="101"/>
  <c r="O13" i="101"/>
  <c r="P13" i="101"/>
  <c r="Q13" i="101"/>
  <c r="O14" i="101"/>
  <c r="P14" i="101"/>
  <c r="Q14" i="101"/>
  <c r="O15" i="101"/>
  <c r="P15" i="101"/>
  <c r="Q15" i="101"/>
  <c r="O16" i="101"/>
  <c r="P16" i="101"/>
  <c r="Q16" i="101"/>
  <c r="O17" i="101"/>
  <c r="O18" i="101"/>
  <c r="O19" i="101"/>
  <c r="P19" i="101"/>
  <c r="Q19" i="101"/>
  <c r="O20" i="101"/>
  <c r="P20" i="101"/>
  <c r="Q20" i="101"/>
  <c r="O21" i="101"/>
  <c r="P21" i="101"/>
  <c r="Q21" i="101"/>
  <c r="O22" i="101"/>
  <c r="P22" i="101"/>
  <c r="Q22" i="101"/>
  <c r="O25" i="101"/>
  <c r="P25" i="101"/>
  <c r="P31" i="101" s="1"/>
  <c r="Q25" i="101"/>
  <c r="O26" i="101"/>
  <c r="O27" i="101"/>
  <c r="P27" i="101"/>
  <c r="Q27" i="101"/>
  <c r="O28" i="101"/>
  <c r="P28" i="101"/>
  <c r="Q28" i="101"/>
  <c r="O29" i="101"/>
  <c r="P29" i="101"/>
  <c r="Q29" i="101"/>
  <c r="P9" i="101"/>
  <c r="Q9" i="101"/>
  <c r="I18" i="101"/>
  <c r="M17" i="101"/>
  <c r="L48" i="109"/>
  <c r="M48" i="109"/>
  <c r="L50" i="109"/>
  <c r="M50" i="109"/>
  <c r="L51" i="109"/>
  <c r="M51" i="109"/>
  <c r="L52" i="109"/>
  <c r="M52" i="109"/>
  <c r="L53" i="109"/>
  <c r="M53" i="109"/>
  <c r="L54" i="109"/>
  <c r="M54" i="109"/>
  <c r="L57" i="109"/>
  <c r="M57" i="109"/>
  <c r="L58" i="109"/>
  <c r="M58" i="109"/>
  <c r="L59" i="109"/>
  <c r="M59" i="109"/>
  <c r="L60" i="109"/>
  <c r="M60" i="109"/>
  <c r="L66" i="109"/>
  <c r="M66" i="109"/>
  <c r="H61" i="109"/>
  <c r="I61" i="109"/>
  <c r="H62" i="109"/>
  <c r="H63" i="109" s="1"/>
  <c r="H67" i="109" s="1"/>
  <c r="I62" i="109"/>
  <c r="I63" i="109" s="1"/>
  <c r="I67" i="109" s="1"/>
  <c r="H66" i="109"/>
  <c r="I66" i="109"/>
  <c r="E47" i="109"/>
  <c r="D66" i="109"/>
  <c r="E66" i="109"/>
  <c r="C61" i="109"/>
  <c r="E56" i="109"/>
  <c r="C55" i="109"/>
  <c r="E49" i="109"/>
  <c r="E46" i="109"/>
  <c r="K23" i="109"/>
  <c r="C24" i="109"/>
  <c r="E23" i="109"/>
  <c r="D23" i="109"/>
  <c r="D24" i="109" s="1"/>
  <c r="H40" i="109"/>
  <c r="I40" i="109"/>
  <c r="E39" i="109"/>
  <c r="M39" i="109" s="1"/>
  <c r="E36" i="109"/>
  <c r="L35" i="109"/>
  <c r="M35" i="109"/>
  <c r="L37" i="109"/>
  <c r="M37" i="109"/>
  <c r="L31" i="109"/>
  <c r="M31" i="109"/>
  <c r="K10" i="109"/>
  <c r="K11" i="109"/>
  <c r="K12" i="109"/>
  <c r="L12" i="109"/>
  <c r="M12" i="109"/>
  <c r="K13" i="109"/>
  <c r="L13" i="109"/>
  <c r="M13" i="109"/>
  <c r="K14" i="109"/>
  <c r="L14" i="109"/>
  <c r="M14" i="109"/>
  <c r="K15" i="109"/>
  <c r="L15" i="109"/>
  <c r="M15" i="109"/>
  <c r="K16" i="109"/>
  <c r="L16" i="109"/>
  <c r="M16" i="109"/>
  <c r="K17" i="109"/>
  <c r="L17" i="109"/>
  <c r="M17" i="109"/>
  <c r="K18" i="109"/>
  <c r="K19" i="109"/>
  <c r="L19" i="109"/>
  <c r="M19" i="109"/>
  <c r="K20" i="109"/>
  <c r="L20" i="109"/>
  <c r="M20" i="109"/>
  <c r="K21" i="109"/>
  <c r="L21" i="109"/>
  <c r="M21" i="109"/>
  <c r="K22" i="109"/>
  <c r="L22" i="109"/>
  <c r="M22" i="109"/>
  <c r="K24" i="109"/>
  <c r="K25" i="109"/>
  <c r="L25" i="109"/>
  <c r="M25" i="109"/>
  <c r="K26" i="109"/>
  <c r="L26" i="109"/>
  <c r="M26" i="109"/>
  <c r="K27" i="109"/>
  <c r="L27" i="109"/>
  <c r="M27" i="109"/>
  <c r="K28" i="109"/>
  <c r="L28" i="109"/>
  <c r="M28" i="109"/>
  <c r="K29" i="109"/>
  <c r="L29" i="109"/>
  <c r="M29" i="109"/>
  <c r="L9" i="109"/>
  <c r="M9" i="109"/>
  <c r="H31" i="109"/>
  <c r="I31" i="109"/>
  <c r="H34" i="109"/>
  <c r="D31" i="109"/>
  <c r="E31" i="109"/>
  <c r="I18" i="109"/>
  <c r="M18" i="109" s="1"/>
  <c r="C11" i="109"/>
  <c r="E10" i="109"/>
  <c r="E35" i="108"/>
  <c r="C11" i="108"/>
  <c r="K11" i="108" s="1"/>
  <c r="E10" i="108"/>
  <c r="D10" i="108"/>
  <c r="D11" i="108" s="1"/>
  <c r="H60" i="108"/>
  <c r="I60" i="108"/>
  <c r="J60" i="108" s="1"/>
  <c r="H61" i="108"/>
  <c r="I61" i="108"/>
  <c r="H65" i="108"/>
  <c r="I65" i="108"/>
  <c r="K48" i="108"/>
  <c r="M47" i="108"/>
  <c r="M49" i="108"/>
  <c r="M50" i="108"/>
  <c r="M51" i="108"/>
  <c r="M52" i="108"/>
  <c r="M53" i="108"/>
  <c r="M56" i="108"/>
  <c r="M57" i="108"/>
  <c r="M58" i="108"/>
  <c r="M59" i="108"/>
  <c r="M65" i="108"/>
  <c r="L47" i="108"/>
  <c r="L49" i="108"/>
  <c r="L50" i="108"/>
  <c r="L51" i="108"/>
  <c r="L52" i="108"/>
  <c r="L53" i="108"/>
  <c r="L56" i="108"/>
  <c r="L57" i="108"/>
  <c r="L58" i="108"/>
  <c r="L59" i="108"/>
  <c r="L65" i="108"/>
  <c r="E46" i="108"/>
  <c r="K46" i="108"/>
  <c r="K44" i="108"/>
  <c r="D65" i="108"/>
  <c r="E65" i="108"/>
  <c r="E45" i="108"/>
  <c r="E48" i="108"/>
  <c r="E55" i="108"/>
  <c r="C60" i="108"/>
  <c r="D23" i="108"/>
  <c r="E23" i="108"/>
  <c r="K35" i="108"/>
  <c r="M35" i="108"/>
  <c r="K36" i="108"/>
  <c r="L36" i="108"/>
  <c r="M36" i="108"/>
  <c r="K37" i="108"/>
  <c r="K38" i="108"/>
  <c r="L34" i="108"/>
  <c r="M34" i="108"/>
  <c r="M30" i="108"/>
  <c r="K24" i="108"/>
  <c r="L24" i="108"/>
  <c r="M24" i="108"/>
  <c r="K25" i="108"/>
  <c r="L25" i="108"/>
  <c r="M25" i="108"/>
  <c r="K26" i="108"/>
  <c r="L26" i="108"/>
  <c r="M26" i="108"/>
  <c r="K27" i="108"/>
  <c r="L27" i="108"/>
  <c r="M27" i="108"/>
  <c r="K28" i="108"/>
  <c r="L28" i="108"/>
  <c r="M28" i="108"/>
  <c r="K10" i="108"/>
  <c r="K12" i="108"/>
  <c r="L12" i="108"/>
  <c r="M12" i="108"/>
  <c r="K13" i="108"/>
  <c r="L13" i="108"/>
  <c r="M13" i="108"/>
  <c r="K14" i="108"/>
  <c r="L14" i="108"/>
  <c r="M14" i="108"/>
  <c r="K15" i="108"/>
  <c r="L15" i="108"/>
  <c r="M15" i="108"/>
  <c r="K16" i="108"/>
  <c r="L16" i="108"/>
  <c r="M16" i="108"/>
  <c r="K17" i="108"/>
  <c r="L17" i="108"/>
  <c r="M17" i="108"/>
  <c r="K18" i="108"/>
  <c r="K19" i="108"/>
  <c r="L19" i="108"/>
  <c r="M19" i="108"/>
  <c r="K20" i="108"/>
  <c r="L20" i="108"/>
  <c r="M20" i="108"/>
  <c r="K21" i="108"/>
  <c r="L21" i="108"/>
  <c r="M21" i="108"/>
  <c r="K22" i="108"/>
  <c r="L22" i="108"/>
  <c r="M22" i="108"/>
  <c r="M9" i="108"/>
  <c r="L9" i="108"/>
  <c r="K9" i="108"/>
  <c r="H39" i="108"/>
  <c r="I39" i="108"/>
  <c r="D30" i="108"/>
  <c r="E30" i="108"/>
  <c r="H30" i="108"/>
  <c r="I30" i="108"/>
  <c r="E38" i="108"/>
  <c r="N46" i="98"/>
  <c r="N45" i="98"/>
  <c r="F46" i="98"/>
  <c r="F45" i="98"/>
  <c r="M35" i="102" l="1"/>
  <c r="M45" i="102"/>
  <c r="M35" i="103"/>
  <c r="N35" i="103" s="1"/>
  <c r="F35" i="103"/>
  <c r="M10" i="109"/>
  <c r="E61" i="102"/>
  <c r="M21" i="103"/>
  <c r="M38" i="103"/>
  <c r="M55" i="103"/>
  <c r="M56" i="109"/>
  <c r="M18" i="102"/>
  <c r="F18" i="102"/>
  <c r="M38" i="102"/>
  <c r="E54" i="102"/>
  <c r="M55" i="102"/>
  <c r="D37" i="103"/>
  <c r="L37" i="103" s="1"/>
  <c r="M48" i="103"/>
  <c r="M46" i="102"/>
  <c r="M45" i="103"/>
  <c r="L10" i="108"/>
  <c r="M47" i="109"/>
  <c r="M36" i="109"/>
  <c r="M46" i="109"/>
  <c r="I24" i="109"/>
  <c r="M24" i="109" s="1"/>
  <c r="M23" i="109"/>
  <c r="F23" i="109"/>
  <c r="E55" i="109"/>
  <c r="M18" i="103"/>
  <c r="N18" i="103" s="1"/>
  <c r="F18" i="103"/>
  <c r="E37" i="103"/>
  <c r="M46" i="103"/>
  <c r="I63" i="101"/>
  <c r="M63" i="101"/>
  <c r="M67" i="101" s="1"/>
  <c r="L30" i="108"/>
  <c r="E54" i="108"/>
  <c r="I62" i="108"/>
  <c r="E37" i="108"/>
  <c r="M37" i="108" s="1"/>
  <c r="M55" i="108"/>
  <c r="M38" i="108"/>
  <c r="M45" i="108"/>
  <c r="M46" i="108"/>
  <c r="H33" i="108"/>
  <c r="E11" i="108"/>
  <c r="F10" i="108"/>
  <c r="Q46" i="101"/>
  <c r="M24" i="101"/>
  <c r="Q36" i="101"/>
  <c r="Q56" i="101"/>
  <c r="I24" i="101"/>
  <c r="Q49" i="101"/>
  <c r="Q31" i="101"/>
  <c r="Q26" i="101"/>
  <c r="Q39" i="101"/>
  <c r="Q47" i="101"/>
  <c r="E11" i="109"/>
  <c r="M48" i="108"/>
  <c r="E24" i="109"/>
  <c r="F24" i="109" s="1"/>
  <c r="E62" i="101"/>
  <c r="Q62" i="101" s="1"/>
  <c r="M55" i="109"/>
  <c r="M61" i="102"/>
  <c r="L11" i="108"/>
  <c r="D29" i="108"/>
  <c r="D31" i="108" s="1"/>
  <c r="M62" i="109"/>
  <c r="E39" i="103"/>
  <c r="M10" i="108"/>
  <c r="N10" i="108" s="1"/>
  <c r="E61" i="108"/>
  <c r="E55" i="101"/>
  <c r="L18" i="102"/>
  <c r="E54" i="103"/>
  <c r="E61" i="103"/>
  <c r="M48" i="102"/>
  <c r="E62" i="109"/>
  <c r="E38" i="109"/>
  <c r="H31" i="103"/>
  <c r="H40" i="103" s="1"/>
  <c r="H32" i="103"/>
  <c r="M39" i="103"/>
  <c r="E23" i="103"/>
  <c r="E33" i="103"/>
  <c r="M33" i="103" s="1"/>
  <c r="I33" i="102"/>
  <c r="I32" i="102"/>
  <c r="E23" i="102"/>
  <c r="F23" i="102" s="1"/>
  <c r="E37" i="102"/>
  <c r="D29" i="102"/>
  <c r="L29" i="102" s="1"/>
  <c r="I31" i="102"/>
  <c r="I40" i="102" s="1"/>
  <c r="H31" i="102"/>
  <c r="M30" i="102"/>
  <c r="E33" i="102"/>
  <c r="M33" i="102" s="1"/>
  <c r="E38" i="101"/>
  <c r="M34" i="101"/>
  <c r="I34" i="101"/>
  <c r="E18" i="101"/>
  <c r="Q17" i="101"/>
  <c r="E34" i="109"/>
  <c r="L23" i="109"/>
  <c r="E30" i="109"/>
  <c r="I34" i="109"/>
  <c r="H62" i="108"/>
  <c r="H66" i="108" s="1"/>
  <c r="E33" i="108"/>
  <c r="I33" i="108"/>
  <c r="K13" i="87"/>
  <c r="R50" i="97"/>
  <c r="R48" i="97"/>
  <c r="R47" i="97"/>
  <c r="N69" i="97"/>
  <c r="N65" i="97"/>
  <c r="N64" i="97"/>
  <c r="N63" i="97"/>
  <c r="N58" i="97"/>
  <c r="N49" i="97"/>
  <c r="N48" i="97"/>
  <c r="N47" i="97"/>
  <c r="J69" i="97"/>
  <c r="J65" i="97"/>
  <c r="J64" i="97"/>
  <c r="J63" i="97"/>
  <c r="J58" i="97"/>
  <c r="J49" i="97"/>
  <c r="F50" i="97"/>
  <c r="F48" i="97"/>
  <c r="F47" i="97"/>
  <c r="N32" i="97"/>
  <c r="N26" i="97"/>
  <c r="N23" i="97"/>
  <c r="N19" i="97"/>
  <c r="J32" i="97"/>
  <c r="J26" i="97"/>
  <c r="J19" i="97"/>
  <c r="J18" i="97"/>
  <c r="F49" i="104"/>
  <c r="Y45" i="31"/>
  <c r="AD45" i="31"/>
  <c r="M11" i="109" l="1"/>
  <c r="I30" i="109"/>
  <c r="I33" i="109" s="1"/>
  <c r="M37" i="103"/>
  <c r="N37" i="103" s="1"/>
  <c r="F37" i="103"/>
  <c r="M54" i="102"/>
  <c r="N18" i="102"/>
  <c r="M54" i="103"/>
  <c r="E34" i="101"/>
  <c r="Q34" i="101"/>
  <c r="I67" i="101"/>
  <c r="J67" i="101" s="1"/>
  <c r="J63" i="101"/>
  <c r="M11" i="108"/>
  <c r="N11" i="108" s="1"/>
  <c r="F11" i="108"/>
  <c r="E29" i="108"/>
  <c r="E39" i="108"/>
  <c r="I66" i="108"/>
  <c r="J66" i="108" s="1"/>
  <c r="J62" i="108"/>
  <c r="M61" i="108"/>
  <c r="M54" i="108"/>
  <c r="M30" i="101"/>
  <c r="E24" i="101"/>
  <c r="I30" i="101"/>
  <c r="Q55" i="101"/>
  <c r="E40" i="109"/>
  <c r="M40" i="109" s="1"/>
  <c r="M38" i="109"/>
  <c r="M61" i="103"/>
  <c r="E29" i="103"/>
  <c r="M23" i="103"/>
  <c r="D31" i="102"/>
  <c r="E39" i="102"/>
  <c r="M37" i="102"/>
  <c r="M23" i="102"/>
  <c r="N23" i="102" s="1"/>
  <c r="E29" i="102"/>
  <c r="F29" i="102" s="1"/>
  <c r="H40" i="102"/>
  <c r="Q38" i="101"/>
  <c r="E40" i="101"/>
  <c r="Q18" i="101"/>
  <c r="M34" i="109"/>
  <c r="M30" i="109"/>
  <c r="E32" i="109"/>
  <c r="M33" i="108"/>
  <c r="I32" i="109" l="1"/>
  <c r="I41" i="109" s="1"/>
  <c r="M39" i="102"/>
  <c r="E41" i="109"/>
  <c r="M41" i="109" s="1"/>
  <c r="M39" i="108"/>
  <c r="E31" i="108"/>
  <c r="F29" i="108"/>
  <c r="Q40" i="101"/>
  <c r="E30" i="101"/>
  <c r="I32" i="101"/>
  <c r="I33" i="101"/>
  <c r="Q24" i="101"/>
  <c r="M33" i="101"/>
  <c r="M32" i="101"/>
  <c r="M29" i="103"/>
  <c r="E31" i="103"/>
  <c r="M29" i="102"/>
  <c r="N29" i="102" s="1"/>
  <c r="E31" i="102"/>
  <c r="F31" i="102" s="1"/>
  <c r="L31" i="102"/>
  <c r="M32" i="109"/>
  <c r="E40" i="108" l="1"/>
  <c r="F31" i="108"/>
  <c r="M41" i="101"/>
  <c r="Q30" i="101"/>
  <c r="E32" i="101"/>
  <c r="I41" i="101"/>
  <c r="M31" i="103"/>
  <c r="E40" i="103"/>
  <c r="E40" i="102"/>
  <c r="M31" i="102"/>
  <c r="N31" i="102" s="1"/>
  <c r="K17" i="110"/>
  <c r="E17" i="110"/>
  <c r="K16" i="110"/>
  <c r="K18" i="110" s="1"/>
  <c r="K19" i="110" s="1"/>
  <c r="G16" i="110"/>
  <c r="L15" i="110"/>
  <c r="K13" i="110"/>
  <c r="J13" i="110"/>
  <c r="J16" i="110" s="1"/>
  <c r="I13" i="110"/>
  <c r="I16" i="110" s="1"/>
  <c r="H13" i="110"/>
  <c r="H16" i="110" s="1"/>
  <c r="G13" i="110"/>
  <c r="F13" i="110"/>
  <c r="H14" i="110" s="1"/>
  <c r="H17" i="110" s="1"/>
  <c r="E13" i="110"/>
  <c r="E16" i="110" s="1"/>
  <c r="E18" i="110" s="1"/>
  <c r="E19" i="110" s="1"/>
  <c r="L12" i="110"/>
  <c r="A7" i="110"/>
  <c r="M40" i="102" l="1"/>
  <c r="M40" i="103"/>
  <c r="Q32" i="101"/>
  <c r="E41" i="101"/>
  <c r="G21" i="110"/>
  <c r="H21" i="110" s="1"/>
  <c r="I21" i="110" s="1"/>
  <c r="J21" i="110" s="1"/>
  <c r="H18" i="110"/>
  <c r="H19" i="110" s="1"/>
  <c r="J18" i="110"/>
  <c r="J19" i="110" s="1"/>
  <c r="L13" i="110"/>
  <c r="L16" i="110" s="1"/>
  <c r="I14" i="110"/>
  <c r="I17" i="110" s="1"/>
  <c r="I18" i="110" s="1"/>
  <c r="I19" i="110" s="1"/>
  <c r="J14" i="110"/>
  <c r="J17" i="110" s="1"/>
  <c r="F16" i="110"/>
  <c r="G14" i="110"/>
  <c r="Q41" i="101" l="1"/>
  <c r="F14" i="110"/>
  <c r="F17" i="110" s="1"/>
  <c r="F18" i="110" s="1"/>
  <c r="F19" i="110" s="1"/>
  <c r="G17" i="110"/>
  <c r="G18" i="110" s="1"/>
  <c r="G19" i="110" s="1"/>
  <c r="L14" i="110"/>
  <c r="L17" i="110" s="1"/>
  <c r="L18" i="110" s="1"/>
  <c r="L19" i="110" s="1"/>
  <c r="K34" i="88" l="1"/>
  <c r="K38" i="88"/>
  <c r="G26" i="88"/>
  <c r="G27" i="88"/>
  <c r="G28" i="88"/>
  <c r="G29" i="88"/>
  <c r="G30" i="88"/>
  <c r="G31" i="88"/>
  <c r="G32" i="88"/>
  <c r="G33" i="88"/>
  <c r="G25" i="88"/>
  <c r="G16" i="88"/>
  <c r="G17" i="88"/>
  <c r="G18" i="88"/>
  <c r="G19" i="88"/>
  <c r="G20" i="88"/>
  <c r="G21" i="88"/>
  <c r="G22" i="88"/>
  <c r="G15" i="88"/>
  <c r="G11" i="88"/>
  <c r="G10" i="40"/>
  <c r="G13" i="40"/>
  <c r="G15" i="40"/>
  <c r="G16" i="40"/>
  <c r="G43" i="40"/>
  <c r="G45" i="40"/>
  <c r="G54" i="40"/>
  <c r="G63" i="40"/>
  <c r="G65" i="40"/>
  <c r="AE14" i="68" l="1"/>
  <c r="AE17" i="68"/>
  <c r="AE18" i="68"/>
  <c r="AE23" i="68"/>
  <c r="AE24" i="68"/>
  <c r="AE28" i="68"/>
  <c r="AE29" i="68"/>
  <c r="AE30" i="68"/>
  <c r="AE34" i="68" s="1"/>
  <c r="U17" i="4" s="1"/>
  <c r="AE31" i="68"/>
  <c r="AE32" i="68"/>
  <c r="Z14" i="68"/>
  <c r="Z17" i="68"/>
  <c r="Z18" i="68"/>
  <c r="Z23" i="68"/>
  <c r="Z24" i="68"/>
  <c r="Z28" i="68"/>
  <c r="Z29" i="68"/>
  <c r="Z30" i="68"/>
  <c r="Z31" i="68"/>
  <c r="Z32" i="68"/>
  <c r="U11" i="4"/>
  <c r="J12" i="4"/>
  <c r="E12" i="4"/>
  <c r="AE27" i="31"/>
  <c r="AE29" i="31" s="1"/>
  <c r="AE28" i="31"/>
  <c r="AE38" i="31"/>
  <c r="Z27" i="31"/>
  <c r="Z29" i="31" s="1"/>
  <c r="Z28" i="31"/>
  <c r="Z38" i="31"/>
  <c r="U17" i="31"/>
  <c r="U29" i="31"/>
  <c r="U34" i="31"/>
  <c r="U40" i="31"/>
  <c r="U34" i="68"/>
  <c r="AE12" i="45"/>
  <c r="AE13" i="45"/>
  <c r="AE15" i="45"/>
  <c r="AE16" i="45"/>
  <c r="AE17" i="45"/>
  <c r="AE18" i="45"/>
  <c r="AE19" i="45"/>
  <c r="AE21" i="45"/>
  <c r="AE22" i="45"/>
  <c r="U24" i="31" s="1"/>
  <c r="AE23" i="45"/>
  <c r="AE30" i="45"/>
  <c r="AE31" i="45"/>
  <c r="AE33" i="45"/>
  <c r="AE37" i="45"/>
  <c r="AE38" i="45"/>
  <c r="AE40" i="45"/>
  <c r="U12" i="68" s="1"/>
  <c r="AE41" i="45"/>
  <c r="AE42" i="45"/>
  <c r="AE43" i="45"/>
  <c r="AE44" i="45"/>
  <c r="AE45" i="45"/>
  <c r="AE46" i="45"/>
  <c r="AE48" i="45"/>
  <c r="AE49" i="45"/>
  <c r="U22" i="68" s="1"/>
  <c r="AE50" i="45"/>
  <c r="U25" i="68" s="1"/>
  <c r="AE25" i="68" s="1"/>
  <c r="U15" i="4" s="1"/>
  <c r="AE10" i="45"/>
  <c r="Z51" i="45"/>
  <c r="Z39" i="45"/>
  <c r="Z32" i="45"/>
  <c r="Z24" i="45"/>
  <c r="U36" i="45"/>
  <c r="U39" i="45" s="1"/>
  <c r="U51" i="45"/>
  <c r="U32" i="45"/>
  <c r="U24" i="45"/>
  <c r="P51" i="45"/>
  <c r="P36" i="45"/>
  <c r="AE36" i="45" s="1"/>
  <c r="P32" i="45"/>
  <c r="P34" i="45" s="1"/>
  <c r="P14" i="45"/>
  <c r="P24" i="45" s="1"/>
  <c r="P11" i="4" l="1"/>
  <c r="P39" i="45"/>
  <c r="P47" i="45" s="1"/>
  <c r="U25" i="31"/>
  <c r="AF23" i="45"/>
  <c r="E44" i="103"/>
  <c r="P27" i="45"/>
  <c r="U21" i="68"/>
  <c r="U22" i="31"/>
  <c r="U9" i="31"/>
  <c r="U10" i="31" s="1"/>
  <c r="U34" i="45"/>
  <c r="U15" i="68"/>
  <c r="U19" i="68" s="1"/>
  <c r="P29" i="45"/>
  <c r="E44" i="102"/>
  <c r="E60" i="102" s="1"/>
  <c r="Z34" i="45"/>
  <c r="U13" i="68"/>
  <c r="U9" i="68"/>
  <c r="U10" i="68"/>
  <c r="U11" i="68" s="1"/>
  <c r="U46" i="31"/>
  <c r="Z46" i="31" s="1"/>
  <c r="U16" i="87"/>
  <c r="U26" i="68"/>
  <c r="AE9" i="68"/>
  <c r="AE12" i="68"/>
  <c r="AE10" i="68"/>
  <c r="U47" i="45"/>
  <c r="E60" i="103"/>
  <c r="M44" i="103"/>
  <c r="Z47" i="45"/>
  <c r="Z12" i="68"/>
  <c r="Z25" i="68"/>
  <c r="P15" i="4" s="1"/>
  <c r="Z15" i="68"/>
  <c r="AE15" i="68"/>
  <c r="U37" i="31"/>
  <c r="Z9" i="68"/>
  <c r="K51" i="45"/>
  <c r="K39" i="45"/>
  <c r="K32" i="45"/>
  <c r="K20" i="45"/>
  <c r="F51" i="45"/>
  <c r="F39" i="45"/>
  <c r="F32" i="45"/>
  <c r="F20" i="45"/>
  <c r="AE20" i="45" s="1"/>
  <c r="G10" i="68"/>
  <c r="G11" i="68"/>
  <c r="G12" i="68"/>
  <c r="G14" i="68"/>
  <c r="G15" i="68"/>
  <c r="G17" i="68"/>
  <c r="G18" i="68"/>
  <c r="G28" i="68"/>
  <c r="G30" i="68"/>
  <c r="G31" i="68"/>
  <c r="G32" i="68"/>
  <c r="G9" i="68"/>
  <c r="L10" i="68"/>
  <c r="L11" i="68"/>
  <c r="L12" i="68"/>
  <c r="L14" i="68"/>
  <c r="L9" i="68"/>
  <c r="L42" i="31"/>
  <c r="L44" i="31"/>
  <c r="G27" i="31"/>
  <c r="G29" i="31"/>
  <c r="H30" i="23"/>
  <c r="H31" i="23"/>
  <c r="H32" i="23"/>
  <c r="H27" i="23"/>
  <c r="H13" i="23"/>
  <c r="H14" i="23"/>
  <c r="H15" i="23"/>
  <c r="H12" i="23"/>
  <c r="M27" i="38"/>
  <c r="M9" i="38"/>
  <c r="M12" i="38"/>
  <c r="M10" i="38"/>
  <c r="L25" i="38"/>
  <c r="J21" i="38"/>
  <c r="K21" i="38" s="1"/>
  <c r="L21" i="38" s="1"/>
  <c r="J22" i="38"/>
  <c r="K22" i="38" s="1"/>
  <c r="L22" i="38" s="1"/>
  <c r="J23" i="38"/>
  <c r="K23" i="38"/>
  <c r="L23" i="38" s="1"/>
  <c r="J24" i="38"/>
  <c r="K24" i="38"/>
  <c r="L24" i="38"/>
  <c r="J25" i="38"/>
  <c r="K25" i="38" s="1"/>
  <c r="H22" i="38"/>
  <c r="H18" i="38"/>
  <c r="H19" i="38"/>
  <c r="H20" i="38"/>
  <c r="H21" i="38"/>
  <c r="H23" i="38"/>
  <c r="H24" i="38"/>
  <c r="H25" i="38"/>
  <c r="H26" i="38"/>
  <c r="H27" i="38"/>
  <c r="H17" i="38"/>
  <c r="G50" i="6"/>
  <c r="G41" i="6"/>
  <c r="G35" i="6"/>
  <c r="G10" i="6"/>
  <c r="Z10" i="68" l="1"/>
  <c r="E45" i="101"/>
  <c r="M44" i="102"/>
  <c r="U18" i="87"/>
  <c r="U52" i="45"/>
  <c r="Z52" i="45"/>
  <c r="P35" i="45"/>
  <c r="F47" i="45"/>
  <c r="K34" i="45"/>
  <c r="P52" i="45"/>
  <c r="AE51" i="45"/>
  <c r="F34" i="45"/>
  <c r="AE32" i="45"/>
  <c r="P9" i="4"/>
  <c r="U9" i="4"/>
  <c r="F24" i="45"/>
  <c r="E44" i="108"/>
  <c r="AE39" i="45"/>
  <c r="K47" i="45"/>
  <c r="E45" i="109"/>
  <c r="M60" i="103"/>
  <c r="E62" i="103"/>
  <c r="E32" i="103"/>
  <c r="M32" i="103" s="1"/>
  <c r="M60" i="102"/>
  <c r="E62" i="102"/>
  <c r="E32" i="102"/>
  <c r="M32" i="102" s="1"/>
  <c r="P28" i="45"/>
  <c r="U20" i="68"/>
  <c r="AE11" i="68"/>
  <c r="Z11" i="68"/>
  <c r="K52" i="45"/>
  <c r="F52" i="45"/>
  <c r="E11" i="40"/>
  <c r="G11" i="40" s="1"/>
  <c r="H11" i="39"/>
  <c r="H13" i="39"/>
  <c r="H15" i="39"/>
  <c r="H16" i="39"/>
  <c r="H17" i="39"/>
  <c r="H18" i="39"/>
  <c r="H19" i="39"/>
  <c r="H20" i="39"/>
  <c r="H21" i="39"/>
  <c r="H22" i="39"/>
  <c r="H28" i="39"/>
  <c r="H29" i="39"/>
  <c r="H30" i="39"/>
  <c r="H32" i="39"/>
  <c r="H33" i="39"/>
  <c r="H34" i="39"/>
  <c r="H36" i="39"/>
  <c r="H37" i="39"/>
  <c r="H10" i="39"/>
  <c r="G42" i="39"/>
  <c r="G43" i="39"/>
  <c r="G40" i="39"/>
  <c r="G37" i="39"/>
  <c r="G33" i="39"/>
  <c r="G23" i="39"/>
  <c r="H23" i="39" s="1"/>
  <c r="G11" i="39"/>
  <c r="E61" i="101" l="1"/>
  <c r="Q45" i="101"/>
  <c r="U19" i="87"/>
  <c r="G38" i="39"/>
  <c r="H38" i="39" s="1"/>
  <c r="AE52" i="45"/>
  <c r="U19" i="31"/>
  <c r="AE34" i="45"/>
  <c r="AE47" i="45"/>
  <c r="U42" i="31"/>
  <c r="M45" i="109"/>
  <c r="E61" i="109"/>
  <c r="E66" i="103"/>
  <c r="M62" i="103"/>
  <c r="I18" i="108"/>
  <c r="M62" i="102"/>
  <c r="E66" i="102"/>
  <c r="M44" i="108"/>
  <c r="E60" i="108"/>
  <c r="U8" i="4"/>
  <c r="U27" i="68"/>
  <c r="P8" i="4"/>
  <c r="F11" i="68"/>
  <c r="F9" i="68"/>
  <c r="F33" i="68"/>
  <c r="E51" i="104"/>
  <c r="F14" i="68"/>
  <c r="F15" i="68"/>
  <c r="E54" i="104" s="1"/>
  <c r="F16" i="68"/>
  <c r="F17" i="68"/>
  <c r="F18" i="68"/>
  <c r="F23" i="68"/>
  <c r="F24" i="68"/>
  <c r="E64" i="104" s="1"/>
  <c r="F25" i="68"/>
  <c r="F28" i="68"/>
  <c r="F30" i="68" s="1"/>
  <c r="F29" i="68"/>
  <c r="F31" i="68"/>
  <c r="F32" i="68"/>
  <c r="G30" i="23"/>
  <c r="G34" i="23"/>
  <c r="G37" i="23" s="1"/>
  <c r="G19" i="23"/>
  <c r="H19" i="23" s="1"/>
  <c r="F45" i="31"/>
  <c r="M51" i="6"/>
  <c r="M47" i="6"/>
  <c r="M30" i="6"/>
  <c r="M31" i="6"/>
  <c r="M32" i="6"/>
  <c r="M33" i="6"/>
  <c r="M34" i="6"/>
  <c r="M35" i="6"/>
  <c r="M36" i="6"/>
  <c r="M29" i="6"/>
  <c r="M25" i="6"/>
  <c r="M23" i="6"/>
  <c r="M21" i="6"/>
  <c r="M20" i="6"/>
  <c r="M17" i="6"/>
  <c r="H10" i="6"/>
  <c r="H11" i="6"/>
  <c r="H12" i="6"/>
  <c r="H13" i="6"/>
  <c r="H15" i="6"/>
  <c r="H18" i="6"/>
  <c r="H19" i="6"/>
  <c r="H20" i="6"/>
  <c r="H22" i="6"/>
  <c r="H24" i="6"/>
  <c r="H25" i="6"/>
  <c r="H26" i="6"/>
  <c r="H27" i="6"/>
  <c r="H28" i="6"/>
  <c r="H35" i="6"/>
  <c r="H36" i="6"/>
  <c r="H37" i="6"/>
  <c r="H38" i="6"/>
  <c r="H40" i="6"/>
  <c r="H41" i="6"/>
  <c r="H47" i="6"/>
  <c r="H48" i="6"/>
  <c r="H49" i="6"/>
  <c r="H50" i="6"/>
  <c r="H51" i="6"/>
  <c r="H8" i="6"/>
  <c r="G51" i="6"/>
  <c r="G40" i="6"/>
  <c r="F29" i="6"/>
  <c r="F30" i="6"/>
  <c r="F31" i="6"/>
  <c r="F32" i="6"/>
  <c r="F33" i="6"/>
  <c r="F34" i="6"/>
  <c r="G27" i="6"/>
  <c r="F14" i="31"/>
  <c r="F15" i="31"/>
  <c r="F16" i="31"/>
  <c r="F20" i="31"/>
  <c r="F21" i="31"/>
  <c r="F22" i="31"/>
  <c r="F23" i="31"/>
  <c r="F24" i="31"/>
  <c r="F25" i="31"/>
  <c r="F29" i="31"/>
  <c r="E25" i="104" s="1"/>
  <c r="F30" i="31"/>
  <c r="F31" i="31" s="1"/>
  <c r="E26" i="104" s="1"/>
  <c r="M26" i="104" s="1"/>
  <c r="F32" i="31"/>
  <c r="F33" i="31"/>
  <c r="F39" i="31"/>
  <c r="F41" i="31"/>
  <c r="F42" i="31"/>
  <c r="F43" i="31"/>
  <c r="M46" i="98"/>
  <c r="M50" i="98"/>
  <c r="K51" i="98"/>
  <c r="L51" i="98"/>
  <c r="M51" i="98"/>
  <c r="K52" i="98"/>
  <c r="L52" i="98"/>
  <c r="M52" i="98"/>
  <c r="K53" i="98"/>
  <c r="L53" i="98"/>
  <c r="M53" i="98"/>
  <c r="M54" i="98"/>
  <c r="L57" i="98"/>
  <c r="M58" i="98"/>
  <c r="K63" i="98"/>
  <c r="L63" i="98"/>
  <c r="M63" i="98"/>
  <c r="K64" i="98"/>
  <c r="L64" i="98"/>
  <c r="M64" i="98"/>
  <c r="K65" i="98"/>
  <c r="L65" i="98"/>
  <c r="M65" i="98"/>
  <c r="K23" i="98"/>
  <c r="H24" i="98"/>
  <c r="I24" i="98"/>
  <c r="H30" i="98"/>
  <c r="I30" i="98"/>
  <c r="I33" i="98" s="1"/>
  <c r="H31" i="98"/>
  <c r="I31" i="98"/>
  <c r="H32" i="98"/>
  <c r="I32" i="98"/>
  <c r="H33" i="98"/>
  <c r="H34" i="98"/>
  <c r="I34" i="98"/>
  <c r="H40" i="98"/>
  <c r="H41" i="98" s="1"/>
  <c r="I40" i="98"/>
  <c r="I41" i="98"/>
  <c r="D23" i="98"/>
  <c r="L23" i="98" s="1"/>
  <c r="E23" i="98"/>
  <c r="E9" i="98"/>
  <c r="M9" i="98" s="1"/>
  <c r="E13" i="98"/>
  <c r="M13" i="98" s="1"/>
  <c r="E14" i="98"/>
  <c r="M14" i="98" s="1"/>
  <c r="E15" i="98"/>
  <c r="M15" i="98" s="1"/>
  <c r="E16" i="98"/>
  <c r="M16" i="98" s="1"/>
  <c r="E17" i="98"/>
  <c r="M17" i="98" s="1"/>
  <c r="E18" i="98"/>
  <c r="E19" i="98"/>
  <c r="M19" i="98" s="1"/>
  <c r="E20" i="98"/>
  <c r="M20" i="98" s="1"/>
  <c r="E21" i="98"/>
  <c r="E22" i="98"/>
  <c r="M22" i="98" s="1"/>
  <c r="E25" i="98"/>
  <c r="M25" i="98" s="1"/>
  <c r="E26" i="98"/>
  <c r="M26" i="98" s="1"/>
  <c r="E27" i="98"/>
  <c r="E28" i="98"/>
  <c r="M28" i="98" s="1"/>
  <c r="E35" i="98"/>
  <c r="M35" i="98" s="1"/>
  <c r="E36" i="98"/>
  <c r="E37" i="98"/>
  <c r="M37" i="98" s="1"/>
  <c r="E39" i="98"/>
  <c r="E45" i="98"/>
  <c r="M45" i="98" s="1"/>
  <c r="E46" i="98"/>
  <c r="E47" i="98"/>
  <c r="E48" i="98"/>
  <c r="M48" i="98" s="1"/>
  <c r="E49" i="98"/>
  <c r="M49" i="98" s="1"/>
  <c r="E50" i="98"/>
  <c r="E54" i="98"/>
  <c r="E55" i="98"/>
  <c r="E56" i="98"/>
  <c r="M56" i="98" s="1"/>
  <c r="E57" i="98"/>
  <c r="M57" i="98" s="1"/>
  <c r="E58" i="98"/>
  <c r="E59" i="98" s="1"/>
  <c r="M59" i="98" s="1"/>
  <c r="E65" i="98"/>
  <c r="D45" i="98"/>
  <c r="L45" i="98" s="1"/>
  <c r="D46" i="98"/>
  <c r="L46" i="98" s="1"/>
  <c r="D47" i="98"/>
  <c r="L47" i="98" s="1"/>
  <c r="D48" i="98"/>
  <c r="L48" i="98" s="1"/>
  <c r="D49" i="98"/>
  <c r="L49" i="98" s="1"/>
  <c r="D50" i="98"/>
  <c r="L50" i="98" s="1"/>
  <c r="D54" i="98"/>
  <c r="L54" i="98" s="1"/>
  <c r="D55" i="98"/>
  <c r="L55" i="98" s="1"/>
  <c r="D56" i="98"/>
  <c r="L56" i="98" s="1"/>
  <c r="D57" i="98"/>
  <c r="D58" i="98"/>
  <c r="L58" i="98" s="1"/>
  <c r="D65" i="98"/>
  <c r="D9" i="98"/>
  <c r="L9" i="98" s="1"/>
  <c r="D13" i="98"/>
  <c r="L13" i="98" s="1"/>
  <c r="D14" i="98"/>
  <c r="L14" i="98" s="1"/>
  <c r="D15" i="98"/>
  <c r="L15" i="98" s="1"/>
  <c r="D16" i="98"/>
  <c r="L16" i="98" s="1"/>
  <c r="D17" i="98"/>
  <c r="D18" i="98"/>
  <c r="L18" i="98" s="1"/>
  <c r="D19" i="98"/>
  <c r="L19" i="98" s="1"/>
  <c r="D20" i="98"/>
  <c r="L20" i="98" s="1"/>
  <c r="D21" i="98"/>
  <c r="L21" i="98" s="1"/>
  <c r="D22" i="98"/>
  <c r="L22" i="98" s="1"/>
  <c r="D25" i="98"/>
  <c r="L25" i="98" s="1"/>
  <c r="D26" i="98"/>
  <c r="L26" i="98" s="1"/>
  <c r="D27" i="98"/>
  <c r="D28" i="98"/>
  <c r="L28" i="98" s="1"/>
  <c r="D35" i="98"/>
  <c r="L35" i="98" s="1"/>
  <c r="D36" i="98"/>
  <c r="L36" i="98" s="1"/>
  <c r="D37" i="98"/>
  <c r="L37" i="98" s="1"/>
  <c r="I63" i="97"/>
  <c r="I64" i="97"/>
  <c r="I65" i="97"/>
  <c r="I69" i="97" s="1"/>
  <c r="I68" i="97"/>
  <c r="M63" i="97"/>
  <c r="M65" i="97" s="1"/>
  <c r="M69" i="97" s="1"/>
  <c r="M64" i="97"/>
  <c r="M68" i="97"/>
  <c r="M19" i="97"/>
  <c r="Q51" i="97"/>
  <c r="Q54" i="97"/>
  <c r="Q55" i="97"/>
  <c r="Q56" i="97"/>
  <c r="Q66" i="97"/>
  <c r="Q67" i="97"/>
  <c r="E47" i="97"/>
  <c r="Q47" i="97" s="1"/>
  <c r="E48" i="97"/>
  <c r="Q48" i="97" s="1"/>
  <c r="E51" i="97"/>
  <c r="E54" i="97"/>
  <c r="E55" i="97"/>
  <c r="E56" i="97"/>
  <c r="E68" i="97"/>
  <c r="E38" i="97"/>
  <c r="E41" i="97"/>
  <c r="Q41" i="97" s="1"/>
  <c r="Q39" i="97"/>
  <c r="I19" i="97"/>
  <c r="I18" i="97"/>
  <c r="M26" i="97"/>
  <c r="M32" i="97" s="1"/>
  <c r="C19" i="97"/>
  <c r="Q37" i="97"/>
  <c r="M31" i="97"/>
  <c r="M33" i="97" s="1"/>
  <c r="M36" i="97" s="1"/>
  <c r="M40" i="97"/>
  <c r="I26" i="97"/>
  <c r="I32" i="97" s="1"/>
  <c r="I34" i="97" s="1"/>
  <c r="I31" i="97"/>
  <c r="J31" i="97"/>
  <c r="I33" i="97"/>
  <c r="I36" i="97" s="1"/>
  <c r="J33" i="97"/>
  <c r="I40" i="97"/>
  <c r="J40" i="97"/>
  <c r="E25" i="97"/>
  <c r="E27" i="97"/>
  <c r="Q27" i="97" s="1"/>
  <c r="E28" i="97"/>
  <c r="Q28" i="97" s="1"/>
  <c r="E29" i="97"/>
  <c r="E30" i="97"/>
  <c r="Q30" i="97" s="1"/>
  <c r="D25" i="97"/>
  <c r="D27" i="97"/>
  <c r="D28" i="97"/>
  <c r="D29" i="97"/>
  <c r="D30" i="97"/>
  <c r="E48" i="104"/>
  <c r="E53" i="104"/>
  <c r="E56" i="104"/>
  <c r="E63" i="104"/>
  <c r="M63" i="104" s="1"/>
  <c r="E70" i="104"/>
  <c r="E71" i="104"/>
  <c r="K49" i="104"/>
  <c r="L49" i="104"/>
  <c r="M49" i="104"/>
  <c r="N49" i="104" s="1"/>
  <c r="K54" i="104"/>
  <c r="M57" i="104"/>
  <c r="M58" i="104"/>
  <c r="M59" i="104"/>
  <c r="K70" i="104"/>
  <c r="L71" i="104"/>
  <c r="K23" i="104"/>
  <c r="K36" i="104"/>
  <c r="K41" i="104"/>
  <c r="L41" i="104"/>
  <c r="M41" i="104"/>
  <c r="H73" i="104"/>
  <c r="H51" i="104"/>
  <c r="J51" i="104" s="1"/>
  <c r="H47" i="104"/>
  <c r="J47" i="104" s="1"/>
  <c r="H10" i="104"/>
  <c r="I10" i="104"/>
  <c r="H15" i="104"/>
  <c r="I15" i="104"/>
  <c r="H24" i="104"/>
  <c r="I24" i="104"/>
  <c r="H30" i="104"/>
  <c r="I30" i="104"/>
  <c r="I33" i="104" s="1"/>
  <c r="H31" i="104"/>
  <c r="H34" i="104" s="1"/>
  <c r="I31" i="104"/>
  <c r="H39" i="104"/>
  <c r="H42" i="104" s="1"/>
  <c r="I39" i="104"/>
  <c r="I42" i="104"/>
  <c r="D70" i="104"/>
  <c r="L70" i="104" s="1"/>
  <c r="D54" i="104"/>
  <c r="D48" i="104"/>
  <c r="L48" i="104" s="1"/>
  <c r="D53" i="104"/>
  <c r="L53" i="104" s="1"/>
  <c r="D55" i="104"/>
  <c r="L55" i="104" s="1"/>
  <c r="D56" i="104"/>
  <c r="L56" i="104" s="1"/>
  <c r="D57" i="104"/>
  <c r="F57" i="104" s="1"/>
  <c r="D58" i="104"/>
  <c r="L58" i="104" s="1"/>
  <c r="D59" i="104"/>
  <c r="F59" i="104" s="1"/>
  <c r="D62" i="104"/>
  <c r="L62" i="104" s="1"/>
  <c r="D63" i="104"/>
  <c r="L63" i="104" s="1"/>
  <c r="D64" i="104"/>
  <c r="L64" i="104" s="1"/>
  <c r="D69" i="104"/>
  <c r="L69" i="104" s="1"/>
  <c r="D71" i="104"/>
  <c r="E36" i="104"/>
  <c r="B36" i="104"/>
  <c r="E23" i="104"/>
  <c r="E12" i="104"/>
  <c r="E13" i="104"/>
  <c r="E18" i="104"/>
  <c r="E20" i="104"/>
  <c r="M20" i="104" s="1"/>
  <c r="E22" i="104"/>
  <c r="E27" i="104"/>
  <c r="E28" i="104"/>
  <c r="M28" i="104" s="1"/>
  <c r="E35" i="104"/>
  <c r="D25" i="104"/>
  <c r="L25" i="104" s="1"/>
  <c r="H66" i="104" l="1"/>
  <c r="I32" i="104"/>
  <c r="I43" i="104" s="1"/>
  <c r="D51" i="104"/>
  <c r="L51" i="104" s="1"/>
  <c r="L57" i="104"/>
  <c r="N57" i="104" s="1"/>
  <c r="Q61" i="101"/>
  <c r="Q33" i="101" s="1"/>
  <c r="E63" i="101"/>
  <c r="E33" i="101"/>
  <c r="M66" i="103"/>
  <c r="M66" i="102"/>
  <c r="M61" i="109"/>
  <c r="N19" i="98"/>
  <c r="M21" i="98"/>
  <c r="N21" i="98" s="1"/>
  <c r="F21" i="98"/>
  <c r="F40" i="31"/>
  <c r="Z39" i="31"/>
  <c r="AE39" i="31"/>
  <c r="AE15" i="31"/>
  <c r="F36" i="98"/>
  <c r="E38" i="104"/>
  <c r="AE43" i="31"/>
  <c r="Z43" i="31"/>
  <c r="AE33" i="31"/>
  <c r="Z33" i="31"/>
  <c r="E19" i="104"/>
  <c r="Z21" i="31"/>
  <c r="Z42" i="31"/>
  <c r="Q25" i="97"/>
  <c r="F25" i="97"/>
  <c r="F19" i="98"/>
  <c r="M23" i="98"/>
  <c r="N23" i="98" s="1"/>
  <c r="F23" i="98"/>
  <c r="Z32" i="31"/>
  <c r="AE32" i="31"/>
  <c r="E40" i="104"/>
  <c r="M40" i="104" s="1"/>
  <c r="Z45" i="31"/>
  <c r="AE45" i="31"/>
  <c r="M35" i="104"/>
  <c r="E31" i="97"/>
  <c r="E40" i="97"/>
  <c r="M18" i="98"/>
  <c r="N18" i="98" s="1"/>
  <c r="F18" i="98"/>
  <c r="AE41" i="31"/>
  <c r="Z41" i="31"/>
  <c r="E21" i="104"/>
  <c r="AE23" i="31"/>
  <c r="E14" i="104"/>
  <c r="Z16" i="31"/>
  <c r="AE42" i="31"/>
  <c r="U24" i="87"/>
  <c r="E55" i="104"/>
  <c r="E60" i="104" s="1"/>
  <c r="Z16" i="68"/>
  <c r="AE16" i="68"/>
  <c r="G16" i="68"/>
  <c r="M60" i="108"/>
  <c r="M39" i="98"/>
  <c r="AE20" i="31"/>
  <c r="M55" i="98"/>
  <c r="N55" i="98" s="1"/>
  <c r="F55" i="98"/>
  <c r="M47" i="98"/>
  <c r="N47" i="98" s="1"/>
  <c r="F47" i="98"/>
  <c r="I43" i="97"/>
  <c r="J43" i="97" s="1"/>
  <c r="J34" i="97"/>
  <c r="M27" i="104"/>
  <c r="M70" i="104"/>
  <c r="N70" i="104" s="1"/>
  <c r="F70" i="104"/>
  <c r="M25" i="104"/>
  <c r="N25" i="104" s="1"/>
  <c r="F25" i="104"/>
  <c r="M22" i="104"/>
  <c r="M12" i="104"/>
  <c r="M36" i="104"/>
  <c r="M38" i="104"/>
  <c r="M19" i="104"/>
  <c r="M51" i="104"/>
  <c r="L59" i="104"/>
  <c r="N59" i="104" s="1"/>
  <c r="M56" i="104"/>
  <c r="N56" i="104" s="1"/>
  <c r="F56" i="104"/>
  <c r="M55" i="104"/>
  <c r="N55" i="104" s="1"/>
  <c r="F55" i="104"/>
  <c r="M13" i="104"/>
  <c r="E50" i="104"/>
  <c r="F48" i="104"/>
  <c r="M18" i="104"/>
  <c r="M23" i="104"/>
  <c r="M71" i="104"/>
  <c r="N71" i="104" s="1"/>
  <c r="F71" i="104"/>
  <c r="M53" i="104"/>
  <c r="N53" i="104" s="1"/>
  <c r="F53" i="104"/>
  <c r="M21" i="104"/>
  <c r="M14" i="104"/>
  <c r="F54" i="104"/>
  <c r="U44" i="31"/>
  <c r="E72" i="104"/>
  <c r="M72" i="104" s="1"/>
  <c r="Z33" i="68"/>
  <c r="Z34" i="68" s="1"/>
  <c r="P17" i="4" s="1"/>
  <c r="U47" i="31"/>
  <c r="E62" i="108"/>
  <c r="E32" i="108"/>
  <c r="M18" i="108"/>
  <c r="I23" i="108"/>
  <c r="E63" i="109"/>
  <c r="E33" i="109"/>
  <c r="M33" i="109" s="1"/>
  <c r="U35" i="68"/>
  <c r="D60" i="104"/>
  <c r="L60" i="104" s="1"/>
  <c r="D47" i="104"/>
  <c r="L47" i="104" s="1"/>
  <c r="L54" i="104"/>
  <c r="D50" i="104"/>
  <c r="L50" i="104" s="1"/>
  <c r="D59" i="98"/>
  <c r="L59" i="98" s="1"/>
  <c r="E29" i="98"/>
  <c r="M29" i="98" s="1"/>
  <c r="Q38" i="97"/>
  <c r="Q29" i="97"/>
  <c r="D31" i="97"/>
  <c r="E65" i="104"/>
  <c r="M65" i="104" s="1"/>
  <c r="M48" i="104"/>
  <c r="N48" i="104" s="1"/>
  <c r="E47" i="104"/>
  <c r="M54" i="104"/>
  <c r="F34" i="68"/>
  <c r="E69" i="104"/>
  <c r="F19" i="68"/>
  <c r="L17" i="98"/>
  <c r="D24" i="98"/>
  <c r="L24" i="98" s="1"/>
  <c r="E24" i="98"/>
  <c r="M27" i="98"/>
  <c r="E38" i="98"/>
  <c r="M36" i="98"/>
  <c r="N36" i="98" s="1"/>
  <c r="D29" i="98"/>
  <c r="L29" i="98" s="1"/>
  <c r="L27" i="98"/>
  <c r="Q31" i="97"/>
  <c r="D38" i="98"/>
  <c r="F44" i="31"/>
  <c r="AE44" i="31" s="1"/>
  <c r="F17" i="31"/>
  <c r="F34" i="31"/>
  <c r="E37" i="104"/>
  <c r="D61" i="98"/>
  <c r="L61" i="98" s="1"/>
  <c r="D60" i="98"/>
  <c r="L60" i="98" s="1"/>
  <c r="E61" i="98"/>
  <c r="E60" i="98"/>
  <c r="Q68" i="97"/>
  <c r="I35" i="97"/>
  <c r="M34" i="97"/>
  <c r="M35" i="97"/>
  <c r="M64" i="104"/>
  <c r="H32" i="104"/>
  <c r="H43" i="104" s="1"/>
  <c r="I34" i="104"/>
  <c r="D65" i="104"/>
  <c r="L65" i="104" s="1"/>
  <c r="E29" i="104"/>
  <c r="E15" i="104"/>
  <c r="P34" i="68"/>
  <c r="P26" i="68"/>
  <c r="Q26" i="68" s="1"/>
  <c r="P20" i="68"/>
  <c r="Q20" i="68" s="1"/>
  <c r="P11" i="68"/>
  <c r="P9" i="68"/>
  <c r="P40" i="31"/>
  <c r="P47" i="31"/>
  <c r="P44" i="31"/>
  <c r="P9" i="31"/>
  <c r="P26" i="31"/>
  <c r="Q26" i="31" s="1"/>
  <c r="P29" i="31"/>
  <c r="P31" i="31"/>
  <c r="P34" i="31"/>
  <c r="P17" i="31"/>
  <c r="P10" i="31"/>
  <c r="P23" i="87"/>
  <c r="P18" i="87"/>
  <c r="P19" i="87" s="1"/>
  <c r="P24" i="87" s="1"/>
  <c r="K56" i="40"/>
  <c r="K11" i="40"/>
  <c r="K34" i="68"/>
  <c r="K17" i="40"/>
  <c r="K51" i="40"/>
  <c r="K55" i="40"/>
  <c r="K67" i="40"/>
  <c r="K69" i="40"/>
  <c r="K19" i="68"/>
  <c r="K22" i="68"/>
  <c r="L17" i="38"/>
  <c r="L18" i="38"/>
  <c r="L19" i="38"/>
  <c r="L20" i="38"/>
  <c r="L26" i="38"/>
  <c r="L27" i="38" s="1"/>
  <c r="K14" i="68" s="1"/>
  <c r="E50" i="97" s="1"/>
  <c r="Q50" i="97" s="1"/>
  <c r="L12" i="38"/>
  <c r="L13" i="38"/>
  <c r="L14" i="38"/>
  <c r="L15" i="38"/>
  <c r="L16" i="38"/>
  <c r="K11" i="68"/>
  <c r="K9" i="68"/>
  <c r="K8" i="31"/>
  <c r="E13" i="97"/>
  <c r="Q13" i="97" s="1"/>
  <c r="K14" i="31"/>
  <c r="E14" i="97" s="1"/>
  <c r="K15" i="31"/>
  <c r="Z15" i="31" s="1"/>
  <c r="K16" i="31"/>
  <c r="K18" i="31"/>
  <c r="K19" i="31"/>
  <c r="K20" i="31"/>
  <c r="K21" i="31"/>
  <c r="E21" i="97" s="1"/>
  <c r="Q21" i="97" s="1"/>
  <c r="K22" i="31"/>
  <c r="Z22" i="31" s="1"/>
  <c r="K23" i="31"/>
  <c r="K24" i="31"/>
  <c r="E24" i="97" s="1"/>
  <c r="Q24" i="97" s="1"/>
  <c r="K25" i="31"/>
  <c r="Z25" i="31" s="1"/>
  <c r="K29" i="31"/>
  <c r="K31" i="31"/>
  <c r="K34" i="31"/>
  <c r="K40" i="31"/>
  <c r="K44" i="31"/>
  <c r="K18" i="87"/>
  <c r="K9" i="31" s="1"/>
  <c r="E11" i="97" s="1"/>
  <c r="K23" i="87"/>
  <c r="L52" i="6"/>
  <c r="L36" i="6"/>
  <c r="L15" i="6"/>
  <c r="L10" i="6"/>
  <c r="L20" i="6"/>
  <c r="L21" i="6" s="1"/>
  <c r="K19" i="87" l="1"/>
  <c r="K24" i="87" s="1"/>
  <c r="F51" i="104"/>
  <c r="N51" i="104"/>
  <c r="J66" i="104"/>
  <c r="H68" i="104"/>
  <c r="H33" i="104"/>
  <c r="E67" i="109"/>
  <c r="M63" i="109"/>
  <c r="E67" i="101"/>
  <c r="Q67" i="101" s="1"/>
  <c r="Q63" i="101"/>
  <c r="F38" i="98"/>
  <c r="E16" i="97"/>
  <c r="AE24" i="31"/>
  <c r="Z14" i="31"/>
  <c r="AE21" i="31"/>
  <c r="AE22" i="31"/>
  <c r="Z40" i="31"/>
  <c r="AE40" i="31"/>
  <c r="F47" i="31"/>
  <c r="E42" i="97"/>
  <c r="Q42" i="97" s="1"/>
  <c r="AE14" i="31"/>
  <c r="E22" i="97"/>
  <c r="E18" i="97"/>
  <c r="Q18" i="97" s="1"/>
  <c r="Z44" i="31"/>
  <c r="Z34" i="31"/>
  <c r="E20" i="97"/>
  <c r="E23" i="97"/>
  <c r="Q40" i="97"/>
  <c r="Z20" i="31"/>
  <c r="AE16" i="31"/>
  <c r="Z23" i="31"/>
  <c r="Z24" i="31"/>
  <c r="AE34" i="31"/>
  <c r="AE25" i="31"/>
  <c r="E12" i="98"/>
  <c r="M12" i="98" s="1"/>
  <c r="G19" i="68"/>
  <c r="Z19" i="68"/>
  <c r="P12" i="4" s="1"/>
  <c r="AE19" i="68"/>
  <c r="U12" i="4" s="1"/>
  <c r="M62" i="108"/>
  <c r="E66" i="108"/>
  <c r="M24" i="98"/>
  <c r="N24" i="98" s="1"/>
  <c r="F24" i="98"/>
  <c r="E10" i="98"/>
  <c r="E30" i="98" s="1"/>
  <c r="Q11" i="97"/>
  <c r="M61" i="98"/>
  <c r="N61" i="98" s="1"/>
  <c r="F61" i="98"/>
  <c r="P27" i="68"/>
  <c r="M60" i="98"/>
  <c r="N60" i="98" s="1"/>
  <c r="F60" i="98"/>
  <c r="M43" i="97"/>
  <c r="N43" i="97" s="1"/>
  <c r="N34" i="97"/>
  <c r="M60" i="104"/>
  <c r="N60" i="104" s="1"/>
  <c r="F60" i="104"/>
  <c r="M69" i="104"/>
  <c r="N69" i="104" s="1"/>
  <c r="F69" i="104"/>
  <c r="M47" i="104"/>
  <c r="N47" i="104" s="1"/>
  <c r="F47" i="104"/>
  <c r="M37" i="104"/>
  <c r="M50" i="104"/>
  <c r="N50" i="104" s="1"/>
  <c r="F50" i="104"/>
  <c r="M15" i="104"/>
  <c r="N54" i="104"/>
  <c r="K10" i="31"/>
  <c r="K71" i="40"/>
  <c r="AE47" i="31"/>
  <c r="I29" i="108"/>
  <c r="M23" i="108"/>
  <c r="Z47" i="31"/>
  <c r="E10" i="97"/>
  <c r="Q10" i="97" s="1"/>
  <c r="Q12" i="97" s="1"/>
  <c r="E62" i="98"/>
  <c r="F62" i="98" s="1"/>
  <c r="E73" i="104"/>
  <c r="M73" i="104" s="1"/>
  <c r="K17" i="31"/>
  <c r="E15" i="97"/>
  <c r="Q15" i="97" s="1"/>
  <c r="K26" i="31"/>
  <c r="E19" i="97"/>
  <c r="P35" i="31"/>
  <c r="E11" i="98"/>
  <c r="L38" i="98"/>
  <c r="E40" i="98"/>
  <c r="M38" i="98"/>
  <c r="N38" i="98" s="1"/>
  <c r="Q14" i="97"/>
  <c r="P37" i="31"/>
  <c r="E39" i="104"/>
  <c r="E42" i="104" s="1"/>
  <c r="M42" i="104" s="1"/>
  <c r="M29" i="104"/>
  <c r="D62" i="98"/>
  <c r="P36" i="31"/>
  <c r="L45" i="6"/>
  <c r="L34" i="6"/>
  <c r="L32" i="6"/>
  <c r="L33" i="6"/>
  <c r="L31" i="6"/>
  <c r="L30" i="6"/>
  <c r="L29" i="6"/>
  <c r="L25" i="6"/>
  <c r="L23" i="6"/>
  <c r="K35" i="31" l="1"/>
  <c r="J68" i="104"/>
  <c r="H74" i="104"/>
  <c r="J74" i="104" s="1"/>
  <c r="M67" i="109"/>
  <c r="E31" i="98"/>
  <c r="M31" i="98" s="1"/>
  <c r="Q22" i="97"/>
  <c r="J14" i="4"/>
  <c r="AE17" i="31"/>
  <c r="Q20" i="97"/>
  <c r="E14" i="4"/>
  <c r="Q16" i="97"/>
  <c r="Q23" i="97"/>
  <c r="Z17" i="31"/>
  <c r="E12" i="97"/>
  <c r="E33" i="97" s="1"/>
  <c r="M66" i="108"/>
  <c r="M40" i="98"/>
  <c r="M11" i="98"/>
  <c r="P48" i="31"/>
  <c r="E33" i="98"/>
  <c r="M33" i="98" s="1"/>
  <c r="M10" i="98"/>
  <c r="Q27" i="68"/>
  <c r="P35" i="68"/>
  <c r="Q35" i="68" s="1"/>
  <c r="K21" i="68"/>
  <c r="E16" i="4"/>
  <c r="I32" i="108"/>
  <c r="M32" i="108" s="1"/>
  <c r="I31" i="108"/>
  <c r="M29" i="108"/>
  <c r="J16" i="4"/>
  <c r="K47" i="31"/>
  <c r="K48" i="31" s="1"/>
  <c r="D66" i="98"/>
  <c r="L66" i="98" s="1"/>
  <c r="L62" i="98"/>
  <c r="E66" i="98"/>
  <c r="M62" i="98"/>
  <c r="N62" i="98" s="1"/>
  <c r="E17" i="97"/>
  <c r="M30" i="98"/>
  <c r="E32" i="98"/>
  <c r="Q19" i="97"/>
  <c r="E26" i="97"/>
  <c r="M39" i="104"/>
  <c r="F18" i="31"/>
  <c r="F19" i="31"/>
  <c r="G45" i="6"/>
  <c r="G9" i="6"/>
  <c r="G18" i="6"/>
  <c r="E34" i="98" l="1"/>
  <c r="M34" i="98" s="1"/>
  <c r="Q17" i="97"/>
  <c r="Q26" i="97"/>
  <c r="E17" i="104"/>
  <c r="AE19" i="31"/>
  <c r="Z19" i="31"/>
  <c r="E32" i="97"/>
  <c r="E34" i="97" s="1"/>
  <c r="E10" i="4"/>
  <c r="J10" i="4"/>
  <c r="M66" i="98"/>
  <c r="N66" i="98" s="1"/>
  <c r="F66" i="98"/>
  <c r="M17" i="104"/>
  <c r="K26" i="68"/>
  <c r="E58" i="97"/>
  <c r="I40" i="108"/>
  <c r="M31" i="108"/>
  <c r="M32" i="98"/>
  <c r="E41" i="98"/>
  <c r="E16" i="104"/>
  <c r="F26" i="31"/>
  <c r="G52" i="6"/>
  <c r="G20" i="6"/>
  <c r="G15" i="6"/>
  <c r="G21" i="6" s="1"/>
  <c r="H21" i="6" s="1"/>
  <c r="AE9" i="87"/>
  <c r="AE10" i="87"/>
  <c r="AE11" i="87"/>
  <c r="AE14" i="87"/>
  <c r="AE16" i="87"/>
  <c r="AE17" i="87"/>
  <c r="AE21" i="87"/>
  <c r="AE12" i="31" s="1"/>
  <c r="AE13" i="31" s="1"/>
  <c r="AE22" i="87"/>
  <c r="AE8" i="87"/>
  <c r="Z9" i="87"/>
  <c r="Z10" i="87"/>
  <c r="Z11" i="87"/>
  <c r="Z14" i="87"/>
  <c r="Z16" i="87"/>
  <c r="Z17" i="87"/>
  <c r="Z21" i="87"/>
  <c r="Z22" i="87"/>
  <c r="Z8" i="87"/>
  <c r="G14" i="87"/>
  <c r="G21" i="87"/>
  <c r="G22" i="87"/>
  <c r="F18" i="87"/>
  <c r="F9" i="31" s="1"/>
  <c r="F15" i="87"/>
  <c r="AE15" i="87" s="1"/>
  <c r="F12" i="87"/>
  <c r="F13" i="87" s="1"/>
  <c r="G33" i="25"/>
  <c r="G25" i="25"/>
  <c r="F33" i="25"/>
  <c r="F19" i="25"/>
  <c r="G14" i="23"/>
  <c r="G15" i="23" s="1"/>
  <c r="G21" i="23" s="1"/>
  <c r="H21" i="23" s="1"/>
  <c r="F8" i="31" l="1"/>
  <c r="AE13" i="87"/>
  <c r="Z13" i="87"/>
  <c r="Z12" i="87"/>
  <c r="AE12" i="87"/>
  <c r="Z15" i="87"/>
  <c r="Q32" i="97"/>
  <c r="Q34" i="97" s="1"/>
  <c r="Q43" i="97" s="1"/>
  <c r="AE23" i="87"/>
  <c r="Z23" i="87"/>
  <c r="F19" i="87"/>
  <c r="F24" i="87" s="1"/>
  <c r="M40" i="108"/>
  <c r="M41" i="98"/>
  <c r="E43" i="97"/>
  <c r="Q58" i="97"/>
  <c r="K37" i="31"/>
  <c r="J9" i="4"/>
  <c r="AE9" i="31"/>
  <c r="Z9" i="31"/>
  <c r="F10" i="31"/>
  <c r="E9" i="104"/>
  <c r="Z18" i="87"/>
  <c r="AE18" i="87"/>
  <c r="H52" i="6"/>
  <c r="M16" i="104"/>
  <c r="E24" i="104"/>
  <c r="M13" i="92"/>
  <c r="M9" i="92"/>
  <c r="L44" i="92"/>
  <c r="K13" i="68" s="1"/>
  <c r="L43" i="92"/>
  <c r="E8" i="104" l="1"/>
  <c r="M8" i="104" s="1"/>
  <c r="AE8" i="31"/>
  <c r="Z8" i="31"/>
  <c r="E11" i="104"/>
  <c r="Z12" i="31"/>
  <c r="AE19" i="87"/>
  <c r="Z19" i="87"/>
  <c r="E49" i="97"/>
  <c r="K20" i="68"/>
  <c r="Z10" i="31"/>
  <c r="AE10" i="31"/>
  <c r="M9" i="104"/>
  <c r="E10" i="104"/>
  <c r="E30" i="104" s="1"/>
  <c r="E8" i="4"/>
  <c r="M24" i="104"/>
  <c r="H13" i="92"/>
  <c r="H14" i="92"/>
  <c r="H20" i="92"/>
  <c r="H26" i="92"/>
  <c r="H28" i="92"/>
  <c r="H32" i="92"/>
  <c r="H33" i="92"/>
  <c r="H37" i="92"/>
  <c r="H9" i="92"/>
  <c r="G43" i="92"/>
  <c r="G44" i="92"/>
  <c r="F13" i="68" s="1"/>
  <c r="G18" i="92"/>
  <c r="Z13" i="31" l="1"/>
  <c r="E9" i="4" s="1"/>
  <c r="M11" i="104"/>
  <c r="E31" i="104"/>
  <c r="M31" i="104" s="1"/>
  <c r="F35" i="31"/>
  <c r="F48" i="31" s="1"/>
  <c r="Z24" i="87"/>
  <c r="AE24" i="87"/>
  <c r="AE13" i="68"/>
  <c r="Z13" i="68"/>
  <c r="Z20" i="68" s="1"/>
  <c r="K27" i="68"/>
  <c r="K36" i="31"/>
  <c r="Q49" i="97"/>
  <c r="E52" i="104"/>
  <c r="E66" i="104" s="1"/>
  <c r="M66" i="104" s="1"/>
  <c r="F20" i="68"/>
  <c r="J8" i="4"/>
  <c r="M10" i="104"/>
  <c r="M30" i="104"/>
  <c r="G26" i="38"/>
  <c r="G27" i="38"/>
  <c r="G12" i="38"/>
  <c r="G13" i="38"/>
  <c r="G14" i="38"/>
  <c r="G15" i="38"/>
  <c r="G16" i="38"/>
  <c r="H8" i="40"/>
  <c r="F34" i="88"/>
  <c r="G34" i="88" s="1"/>
  <c r="E34" i="88"/>
  <c r="F17" i="40"/>
  <c r="F55" i="40"/>
  <c r="F67" i="40"/>
  <c r="F69" i="40"/>
  <c r="F27" i="40"/>
  <c r="F51" i="40" s="1"/>
  <c r="E32" i="104" l="1"/>
  <c r="E43" i="104" s="1"/>
  <c r="P10" i="4"/>
  <c r="U10" i="4"/>
  <c r="AE20" i="68"/>
  <c r="F36" i="31"/>
  <c r="M52" i="104"/>
  <c r="K35" i="68"/>
  <c r="F38" i="88"/>
  <c r="M32" i="104"/>
  <c r="I7" i="38"/>
  <c r="L7" i="6"/>
  <c r="M7" i="6"/>
  <c r="G7" i="6"/>
  <c r="F8" i="25" s="1"/>
  <c r="F22" i="25" s="1"/>
  <c r="G8" i="23" s="1"/>
  <c r="G26" i="23" s="1"/>
  <c r="G8" i="92" s="1"/>
  <c r="G7" i="38" s="1"/>
  <c r="G8" i="39" s="1"/>
  <c r="F8" i="40" s="1"/>
  <c r="F9" i="88" s="1"/>
  <c r="H7" i="6"/>
  <c r="G8" i="25" s="1"/>
  <c r="G22" i="25" s="1"/>
  <c r="H8" i="23" s="1"/>
  <c r="H26" i="23" s="1"/>
  <c r="H8" i="92" s="1"/>
  <c r="H7" i="38" s="1"/>
  <c r="H8" i="39" s="1"/>
  <c r="G8" i="40" s="1"/>
  <c r="G9" i="88" s="1"/>
  <c r="AF7" i="87"/>
  <c r="AE7" i="87"/>
  <c r="Z7" i="87"/>
  <c r="AA7" i="87"/>
  <c r="AB7" i="87"/>
  <c r="U7" i="87"/>
  <c r="V7" i="87"/>
  <c r="P7" i="87"/>
  <c r="Q7" i="87"/>
  <c r="K7" i="87"/>
  <c r="L7" i="87"/>
  <c r="F7" i="87"/>
  <c r="G7" i="87"/>
  <c r="AE8" i="68"/>
  <c r="AF8" i="68"/>
  <c r="Z8" i="68"/>
  <c r="AA8" i="68"/>
  <c r="U8" i="68"/>
  <c r="V8" i="68"/>
  <c r="P8" i="68"/>
  <c r="Q8" i="68"/>
  <c r="K8" i="68"/>
  <c r="L8" i="92" s="1"/>
  <c r="L7" i="38" s="1"/>
  <c r="K8" i="40" s="1"/>
  <c r="K9" i="88" s="1"/>
  <c r="L8" i="68"/>
  <c r="M8" i="92" s="1"/>
  <c r="M7" i="38" s="1"/>
  <c r="L8" i="40" s="1"/>
  <c r="L9" i="88" s="1"/>
  <c r="F8" i="68"/>
  <c r="G8" i="68"/>
  <c r="H8" i="68"/>
  <c r="E33" i="104" l="1"/>
  <c r="M33" i="104" s="1"/>
  <c r="G38" i="88"/>
  <c r="F22" i="68"/>
  <c r="M43" i="104"/>
  <c r="T36" i="45"/>
  <c r="V36" i="45" s="1"/>
  <c r="G22" i="68" l="1"/>
  <c r="E62" i="104"/>
  <c r="Z22" i="68"/>
  <c r="AE22" i="68"/>
  <c r="F19" i="39"/>
  <c r="F17" i="39"/>
  <c r="U14" i="4" l="1"/>
  <c r="P14" i="4"/>
  <c r="M62" i="104"/>
  <c r="N62" i="104" s="1"/>
  <c r="F62" i="104"/>
  <c r="E30" i="88"/>
  <c r="E15" i="88"/>
  <c r="F30" i="39"/>
  <c r="F29" i="39"/>
  <c r="G34" i="93"/>
  <c r="F33" i="92"/>
  <c r="F27" i="92"/>
  <c r="H27" i="92" s="1"/>
  <c r="F20" i="92"/>
  <c r="Y21" i="45"/>
  <c r="O38" i="45"/>
  <c r="Q38" i="45" s="1"/>
  <c r="Q36" i="45"/>
  <c r="D21" i="103" l="1"/>
  <c r="AA21" i="45"/>
  <c r="L21" i="103" l="1"/>
  <c r="N21" i="103" s="1"/>
  <c r="F21" i="103"/>
  <c r="D23" i="103"/>
  <c r="F23" i="103" s="1"/>
  <c r="E19" i="88"/>
  <c r="E29" i="88"/>
  <c r="J53" i="40"/>
  <c r="L53" i="40" s="1"/>
  <c r="J52" i="40"/>
  <c r="L52" i="40" s="1"/>
  <c r="J9" i="68"/>
  <c r="G49" i="93"/>
  <c r="G43" i="93"/>
  <c r="G51" i="93"/>
  <c r="G50" i="93"/>
  <c r="L23" i="103" l="1"/>
  <c r="N23" i="103" s="1"/>
  <c r="D29" i="103"/>
  <c r="F29" i="103" s="1"/>
  <c r="L29" i="103"/>
  <c r="N29" i="103" s="1"/>
  <c r="H18" i="97"/>
  <c r="H19" i="97"/>
  <c r="L48" i="97"/>
  <c r="L47" i="97"/>
  <c r="L19" i="97"/>
  <c r="D31" i="103" l="1"/>
  <c r="F31" i="103" s="1"/>
  <c r="L31" i="103"/>
  <c r="N31" i="103" s="1"/>
  <c r="O22" i="31"/>
  <c r="O26" i="31"/>
  <c r="O9" i="31"/>
  <c r="D10" i="98" l="1"/>
  <c r="Q9" i="31"/>
  <c r="L17" i="101"/>
  <c r="N17" i="101" s="1"/>
  <c r="Q13" i="45"/>
  <c r="O14" i="45"/>
  <c r="O21" i="68"/>
  <c r="O13" i="68"/>
  <c r="O12" i="68"/>
  <c r="Y36" i="45"/>
  <c r="AA36" i="45" s="1"/>
  <c r="T48" i="45"/>
  <c r="T41" i="45"/>
  <c r="O48" i="45"/>
  <c r="D56" i="101" s="1"/>
  <c r="Y41" i="45"/>
  <c r="Y40" i="45"/>
  <c r="L24" i="101" l="1"/>
  <c r="Q14" i="45"/>
  <c r="P17" i="101"/>
  <c r="R17" i="101" s="1"/>
  <c r="L10" i="98"/>
  <c r="N10" i="98" s="1"/>
  <c r="D30" i="98"/>
  <c r="F10" i="98"/>
  <c r="L30" i="101"/>
  <c r="N30" i="101" s="1"/>
  <c r="N24" i="101"/>
  <c r="D46" i="102"/>
  <c r="V41" i="45"/>
  <c r="D55" i="102"/>
  <c r="F55" i="102" s="1"/>
  <c r="V48" i="45"/>
  <c r="F56" i="101"/>
  <c r="Q48" i="45"/>
  <c r="D45" i="103"/>
  <c r="AA40" i="45"/>
  <c r="D46" i="103"/>
  <c r="AA41" i="45"/>
  <c r="D61" i="102"/>
  <c r="F61" i="102" s="1"/>
  <c r="O41" i="45"/>
  <c r="J40" i="45"/>
  <c r="J41" i="45"/>
  <c r="J36" i="45"/>
  <c r="L36" i="45" s="1"/>
  <c r="E48" i="45"/>
  <c r="E46" i="45"/>
  <c r="E36" i="45"/>
  <c r="G36" i="45" s="1"/>
  <c r="E40" i="45"/>
  <c r="E19" i="45"/>
  <c r="G19" i="45" s="1"/>
  <c r="E41" i="45"/>
  <c r="L33" i="101" l="1"/>
  <c r="L32" i="101"/>
  <c r="L46" i="103"/>
  <c r="N46" i="103" s="1"/>
  <c r="F46" i="103"/>
  <c r="L46" i="102"/>
  <c r="N46" i="102" s="1"/>
  <c r="F46" i="102"/>
  <c r="L45" i="103"/>
  <c r="N45" i="103" s="1"/>
  <c r="F45" i="103"/>
  <c r="L55" i="102"/>
  <c r="N55" i="102" s="1"/>
  <c r="L30" i="98"/>
  <c r="N30" i="98" s="1"/>
  <c r="D33" i="98"/>
  <c r="L33" i="98" s="1"/>
  <c r="F30" i="98"/>
  <c r="L41" i="101"/>
  <c r="N41" i="101" s="1"/>
  <c r="N32" i="101"/>
  <c r="D62" i="101"/>
  <c r="P56" i="101"/>
  <c r="R56" i="101" s="1"/>
  <c r="D48" i="108"/>
  <c r="F48" i="108" s="1"/>
  <c r="G46" i="45"/>
  <c r="D55" i="108"/>
  <c r="F55" i="108" s="1"/>
  <c r="G48" i="45"/>
  <c r="D46" i="109"/>
  <c r="L40" i="45"/>
  <c r="D45" i="108"/>
  <c r="G40" i="45"/>
  <c r="D46" i="101"/>
  <c r="Q40" i="45"/>
  <c r="D46" i="108"/>
  <c r="G41" i="45"/>
  <c r="H18" i="109"/>
  <c r="J18" i="109" s="1"/>
  <c r="L19" i="45"/>
  <c r="D47" i="109"/>
  <c r="F47" i="109" s="1"/>
  <c r="L41" i="45"/>
  <c r="D47" i="101"/>
  <c r="Q41" i="45"/>
  <c r="L48" i="108"/>
  <c r="N48" i="108" s="1"/>
  <c r="D54" i="108"/>
  <c r="L61" i="102"/>
  <c r="N61" i="102" s="1"/>
  <c r="D33" i="102"/>
  <c r="L33" i="102" s="1"/>
  <c r="F14" i="23"/>
  <c r="F13" i="23"/>
  <c r="L47" i="109" l="1"/>
  <c r="N47" i="109" s="1"/>
  <c r="L46" i="109"/>
  <c r="N46" i="109" s="1"/>
  <c r="F46" i="109"/>
  <c r="P62" i="101"/>
  <c r="P34" i="101" s="1"/>
  <c r="F62" i="101"/>
  <c r="L55" i="108"/>
  <c r="L61" i="108" s="1"/>
  <c r="N61" i="108" s="1"/>
  <c r="L54" i="108"/>
  <c r="N54" i="108" s="1"/>
  <c r="F54" i="108"/>
  <c r="L45" i="108"/>
  <c r="N45" i="108" s="1"/>
  <c r="F45" i="108"/>
  <c r="D61" i="108"/>
  <c r="L46" i="108"/>
  <c r="N46" i="108" s="1"/>
  <c r="F46" i="108"/>
  <c r="L18" i="109"/>
  <c r="N18" i="109" s="1"/>
  <c r="H24" i="109"/>
  <c r="J24" i="109" s="1"/>
  <c r="D34" i="101"/>
  <c r="P47" i="101"/>
  <c r="R47" i="101" s="1"/>
  <c r="F47" i="101"/>
  <c r="P46" i="101"/>
  <c r="R46" i="101" s="1"/>
  <c r="F46" i="101"/>
  <c r="H30" i="109"/>
  <c r="J30" i="109" s="1"/>
  <c r="E12" i="87"/>
  <c r="G12" i="87" s="1"/>
  <c r="N55" i="108" l="1"/>
  <c r="R62" i="101"/>
  <c r="D33" i="108"/>
  <c r="L33" i="108" s="1"/>
  <c r="F61" i="108"/>
  <c r="L24" i="109"/>
  <c r="N24" i="109" s="1"/>
  <c r="H33" i="109"/>
  <c r="H32" i="109"/>
  <c r="E46" i="40"/>
  <c r="G46" i="40" s="1"/>
  <c r="E26" i="41"/>
  <c r="F29" i="92"/>
  <c r="H29" i="92" s="1"/>
  <c r="F28" i="92"/>
  <c r="F26" i="92"/>
  <c r="F25" i="92"/>
  <c r="H25" i="92" s="1"/>
  <c r="F24" i="92"/>
  <c r="H24" i="92" s="1"/>
  <c r="F22" i="92"/>
  <c r="H22" i="92" s="1"/>
  <c r="F15" i="92"/>
  <c r="H15" i="92" s="1"/>
  <c r="H41" i="109" l="1"/>
  <c r="J41" i="109" s="1"/>
  <c r="J32" i="109"/>
  <c r="F43" i="92"/>
  <c r="H43" i="92" s="1"/>
  <c r="F12" i="92"/>
  <c r="H12" i="92" s="1"/>
  <c r="F11" i="92"/>
  <c r="H11" i="92" s="1"/>
  <c r="E12" i="68"/>
  <c r="E9" i="68"/>
  <c r="E10" i="68"/>
  <c r="F27" i="6" l="1"/>
  <c r="F34" i="92"/>
  <c r="H34" i="92" s="1"/>
  <c r="G44" i="93"/>
  <c r="G35" i="93"/>
  <c r="E33" i="88" l="1"/>
  <c r="F37" i="92"/>
  <c r="E25" i="88"/>
  <c r="F51" i="6"/>
  <c r="F17" i="92"/>
  <c r="H17" i="92" s="1"/>
  <c r="F18" i="92"/>
  <c r="H18" i="92" s="1"/>
  <c r="F47" i="6"/>
  <c r="G29" i="93"/>
  <c r="F40" i="6"/>
  <c r="F24" i="6"/>
  <c r="F10" i="92"/>
  <c r="H10" i="92" s="1"/>
  <c r="G28" i="93"/>
  <c r="G22" i="93"/>
  <c r="G33" i="93"/>
  <c r="G31" i="93"/>
  <c r="G21" i="93"/>
  <c r="G14" i="93"/>
  <c r="K34" i="6" l="1"/>
  <c r="J13" i="93"/>
  <c r="K35" i="92"/>
  <c r="M35" i="92" s="1"/>
  <c r="K34" i="92"/>
  <c r="M34" i="92" s="1"/>
  <c r="K38" i="92"/>
  <c r="M38" i="92" s="1"/>
  <c r="K39" i="92"/>
  <c r="M39" i="92" s="1"/>
  <c r="K41" i="92"/>
  <c r="M41" i="92" s="1"/>
  <c r="K42" i="92"/>
  <c r="M42" i="92" s="1"/>
  <c r="K43" i="92"/>
  <c r="M43" i="92" s="1"/>
  <c r="J12" i="68"/>
  <c r="J10" i="68"/>
  <c r="J44" i="93" l="1"/>
  <c r="J35" i="93"/>
  <c r="J34" i="93"/>
  <c r="J37" i="93"/>
  <c r="K40" i="92"/>
  <c r="M40" i="92" s="1"/>
  <c r="K13" i="92"/>
  <c r="K10" i="38"/>
  <c r="K30" i="6"/>
  <c r="K33" i="6" l="1"/>
  <c r="J64" i="40" l="1"/>
  <c r="L64" i="40" s="1"/>
  <c r="J60" i="40"/>
  <c r="L60" i="40" s="1"/>
  <c r="K32" i="92"/>
  <c r="M32" i="92" s="1"/>
  <c r="J27" i="93"/>
  <c r="J25" i="93"/>
  <c r="J26" i="93"/>
  <c r="J17" i="93"/>
  <c r="J28" i="93"/>
  <c r="J50" i="93"/>
  <c r="J39" i="93"/>
  <c r="J9" i="93"/>
  <c r="J66" i="40"/>
  <c r="L66" i="40" s="1"/>
  <c r="G17" i="93" l="1"/>
  <c r="E61" i="40"/>
  <c r="G61" i="40" s="1"/>
  <c r="E50" i="40"/>
  <c r="G50" i="40" s="1"/>
  <c r="F13" i="92"/>
  <c r="E32" i="40"/>
  <c r="G32" i="40" s="1"/>
  <c r="E49" i="40"/>
  <c r="G49" i="40" s="1"/>
  <c r="E59" i="40"/>
  <c r="G59" i="40" s="1"/>
  <c r="G30" i="93" l="1"/>
  <c r="E25" i="40"/>
  <c r="E48" i="40"/>
  <c r="G48" i="40" s="1"/>
  <c r="E47" i="40"/>
  <c r="G47" i="40" s="1"/>
  <c r="E24" i="40"/>
  <c r="G24" i="40" s="1"/>
  <c r="J11" i="40" l="1"/>
  <c r="L11" i="40" s="1"/>
  <c r="J33" i="93"/>
  <c r="F12" i="23" l="1"/>
  <c r="F31" i="23"/>
  <c r="E28" i="25"/>
  <c r="E62" i="40"/>
  <c r="E12" i="41"/>
  <c r="E44" i="40"/>
  <c r="G44" i="40" s="1"/>
  <c r="E24" i="88"/>
  <c r="F36" i="92"/>
  <c r="E32" i="88"/>
  <c r="F13" i="39"/>
  <c r="E42" i="40"/>
  <c r="G41" i="93" l="1"/>
  <c r="E37" i="40" l="1"/>
  <c r="G37" i="40" s="1"/>
  <c r="Q17" i="45" l="1"/>
  <c r="E28" i="40" l="1"/>
  <c r="G28" i="40" l="1"/>
  <c r="E22" i="88"/>
  <c r="E23" i="88"/>
  <c r="E20" i="41"/>
  <c r="E19" i="41"/>
  <c r="E23" i="40"/>
  <c r="E14" i="40"/>
  <c r="G14" i="40" s="1"/>
  <c r="E24" i="41" l="1"/>
  <c r="E23" i="41"/>
  <c r="E22" i="41"/>
  <c r="O25" i="45"/>
  <c r="Q25" i="45" l="1"/>
  <c r="D26" i="101"/>
  <c r="F16" i="92"/>
  <c r="H16" i="92" s="1"/>
  <c r="P26" i="101" l="1"/>
  <c r="R26" i="101" s="1"/>
  <c r="F26" i="101"/>
  <c r="G47" i="93"/>
  <c r="E26" i="40"/>
  <c r="G26" i="40" s="1"/>
  <c r="E36" i="40"/>
  <c r="G36" i="40" s="1"/>
  <c r="E27" i="88"/>
  <c r="AC25" i="45" l="1"/>
  <c r="O46" i="45" l="1"/>
  <c r="D49" i="101" l="1"/>
  <c r="F49" i="101" s="1"/>
  <c r="Q46" i="45"/>
  <c r="P49" i="101"/>
  <c r="R49" i="101" s="1"/>
  <c r="D55" i="101"/>
  <c r="K25" i="92"/>
  <c r="M25" i="92" s="1"/>
  <c r="F39" i="92"/>
  <c r="H39" i="92" s="1"/>
  <c r="F41" i="92"/>
  <c r="H41" i="92" s="1"/>
  <c r="P55" i="101" l="1"/>
  <c r="R55" i="101" s="1"/>
  <c r="F55" i="101"/>
  <c r="E41" i="40"/>
  <c r="G41" i="40" s="1"/>
  <c r="F38" i="92"/>
  <c r="H38" i="92" s="1"/>
  <c r="F40" i="92"/>
  <c r="H40" i="92" s="1"/>
  <c r="F42" i="92"/>
  <c r="H42" i="92" s="1"/>
  <c r="F35" i="92"/>
  <c r="H35" i="92" s="1"/>
  <c r="E40" i="40" l="1"/>
  <c r="G40" i="40" s="1"/>
  <c r="T30" i="45" l="1"/>
  <c r="V30" i="45" l="1"/>
  <c r="D35" i="102"/>
  <c r="T46" i="45"/>
  <c r="O30" i="45"/>
  <c r="Y46" i="45"/>
  <c r="J30" i="45"/>
  <c r="J46" i="45"/>
  <c r="AD46" i="45" s="1"/>
  <c r="AF46" i="45" s="1"/>
  <c r="E30" i="45"/>
  <c r="G30" i="45" s="1"/>
  <c r="Q30" i="45" l="1"/>
  <c r="D36" i="101"/>
  <c r="D37" i="102"/>
  <c r="L35" i="102"/>
  <c r="N35" i="102" s="1"/>
  <c r="F35" i="102"/>
  <c r="AA46" i="45"/>
  <c r="D48" i="103"/>
  <c r="D36" i="109"/>
  <c r="F36" i="109" s="1"/>
  <c r="L30" i="45"/>
  <c r="D49" i="109"/>
  <c r="L46" i="45"/>
  <c r="D48" i="102"/>
  <c r="F48" i="102" s="1"/>
  <c r="V46" i="45"/>
  <c r="AD30" i="45"/>
  <c r="AF30" i="45" s="1"/>
  <c r="D35" i="108"/>
  <c r="F35" i="108" s="1"/>
  <c r="L48" i="102"/>
  <c r="N48" i="102" s="1"/>
  <c r="X41" i="31"/>
  <c r="AB41" i="31"/>
  <c r="AC41" i="31"/>
  <c r="X31" i="68"/>
  <c r="AB31" i="68"/>
  <c r="AC31" i="68"/>
  <c r="E31" i="68"/>
  <c r="AD31" i="68" s="1"/>
  <c r="B31" i="68"/>
  <c r="E41" i="31"/>
  <c r="G41" i="31" s="1"/>
  <c r="B41" i="31"/>
  <c r="E26" i="88"/>
  <c r="G23" i="87"/>
  <c r="D54" i="102" l="1"/>
  <c r="D38" i="109"/>
  <c r="F38" i="109" s="1"/>
  <c r="L48" i="103"/>
  <c r="N48" i="103" s="1"/>
  <c r="D54" i="103"/>
  <c r="F48" i="103"/>
  <c r="L37" i="102"/>
  <c r="N37" i="102" s="1"/>
  <c r="F37" i="102"/>
  <c r="D55" i="109"/>
  <c r="F49" i="109"/>
  <c r="D38" i="101"/>
  <c r="P36" i="101"/>
  <c r="R36" i="101" s="1"/>
  <c r="F36" i="101"/>
  <c r="L36" i="109"/>
  <c r="N36" i="109" s="1"/>
  <c r="D37" i="108"/>
  <c r="F37" i="108" s="1"/>
  <c r="L35" i="108"/>
  <c r="N35" i="108" s="1"/>
  <c r="L38" i="109"/>
  <c r="N38" i="109" s="1"/>
  <c r="AD41" i="31"/>
  <c r="AF41" i="31" s="1"/>
  <c r="D36" i="104"/>
  <c r="Y31" i="68"/>
  <c r="Y41" i="31"/>
  <c r="AA41" i="31" s="1"/>
  <c r="L54" i="103" l="1"/>
  <c r="N54" i="103" s="1"/>
  <c r="F54" i="103"/>
  <c r="P38" i="101"/>
  <c r="R38" i="101" s="1"/>
  <c r="F38" i="101"/>
  <c r="F55" i="109"/>
  <c r="L55" i="109"/>
  <c r="N55" i="109" s="1"/>
  <c r="L54" i="102"/>
  <c r="N54" i="102" s="1"/>
  <c r="F54" i="102"/>
  <c r="L36" i="104"/>
  <c r="N36" i="104" s="1"/>
  <c r="F36" i="104"/>
  <c r="L37" i="108"/>
  <c r="N37" i="108" s="1"/>
  <c r="F14" i="39"/>
  <c r="E12" i="40"/>
  <c r="G12" i="40" s="1"/>
  <c r="E39" i="40"/>
  <c r="G39" i="40" s="1"/>
  <c r="E29" i="40"/>
  <c r="G29" i="40" s="1"/>
  <c r="D38" i="97" l="1"/>
  <c r="F38" i="97" s="1"/>
  <c r="O51" i="97"/>
  <c r="D51" i="97"/>
  <c r="P51" i="97" s="1"/>
  <c r="J21" i="93" l="1"/>
  <c r="J31" i="93"/>
  <c r="E33" i="40" l="1"/>
  <c r="G18" i="93"/>
  <c r="Y14" i="87"/>
  <c r="AA14" i="87" s="1"/>
  <c r="G36" i="93"/>
  <c r="E34" i="40"/>
  <c r="G34" i="40" s="1"/>
  <c r="E11" i="39"/>
  <c r="F11" i="39"/>
  <c r="X14" i="87"/>
  <c r="E22" i="40"/>
  <c r="X22" i="87" l="1"/>
  <c r="Y22" i="87"/>
  <c r="AA22" i="87" s="1"/>
  <c r="AB22" i="87"/>
  <c r="W11" i="31" s="1"/>
  <c r="AC22" i="87"/>
  <c r="AD22" i="87"/>
  <c r="AF22" i="87" s="1"/>
  <c r="AD21" i="87"/>
  <c r="Y21" i="87"/>
  <c r="AB21" i="87"/>
  <c r="AB23" i="87" s="1"/>
  <c r="AC21" i="87"/>
  <c r="AA21" i="87" l="1"/>
  <c r="Y23" i="87"/>
  <c r="AA23" i="87" s="1"/>
  <c r="AF21" i="87"/>
  <c r="AD12" i="31"/>
  <c r="AD13" i="31" s="1"/>
  <c r="AD23" i="87"/>
  <c r="AC12" i="31"/>
  <c r="AC13" i="31" s="1"/>
  <c r="AC23" i="87"/>
  <c r="AF23" i="87"/>
  <c r="K47" i="6" l="1"/>
  <c r="F34" i="39" l="1"/>
  <c r="C32" i="48" l="1"/>
  <c r="J51" i="93" l="1"/>
  <c r="K17" i="6"/>
  <c r="J55" i="40"/>
  <c r="L55" i="40" s="1"/>
  <c r="F18" i="6" l="1"/>
  <c r="F14" i="6"/>
  <c r="E18" i="41" l="1"/>
  <c r="AD36" i="45" l="1"/>
  <c r="AF36" i="45" s="1"/>
  <c r="AD37" i="45"/>
  <c r="AF37" i="45" s="1"/>
  <c r="T40" i="45"/>
  <c r="V40" i="45" s="1"/>
  <c r="AD40" i="45" l="1"/>
  <c r="AF40" i="45" s="1"/>
  <c r="D45" i="102"/>
  <c r="D48" i="97"/>
  <c r="P48" i="97" s="1"/>
  <c r="C25" i="97"/>
  <c r="P25" i="97"/>
  <c r="R25" i="97" s="1"/>
  <c r="L45" i="102" l="1"/>
  <c r="N45" i="102" s="1"/>
  <c r="F45" i="102"/>
  <c r="O25" i="97"/>
  <c r="J17" i="40"/>
  <c r="L17" i="40" s="1"/>
  <c r="F11" i="38" l="1"/>
  <c r="K16" i="6" l="1"/>
  <c r="D54" i="97"/>
  <c r="D55" i="97"/>
  <c r="D56" i="97"/>
  <c r="E11" i="68"/>
  <c r="F39" i="6"/>
  <c r="P54" i="97" l="1"/>
  <c r="P55" i="97"/>
  <c r="P56" i="97"/>
  <c r="P66" i="97"/>
  <c r="P67" i="97"/>
  <c r="D68" i="97"/>
  <c r="G68" i="97"/>
  <c r="H68" i="97"/>
  <c r="K68" i="97"/>
  <c r="L68" i="97"/>
  <c r="G62" i="97"/>
  <c r="G64" i="97" s="1"/>
  <c r="H62" i="97"/>
  <c r="H64" i="97" s="1"/>
  <c r="K62" i="97"/>
  <c r="L62" i="97"/>
  <c r="L64" i="97" s="1"/>
  <c r="G57" i="97"/>
  <c r="G63" i="97" s="1"/>
  <c r="H57" i="97"/>
  <c r="H63" i="97" s="1"/>
  <c r="K57" i="97"/>
  <c r="K63" i="97" s="1"/>
  <c r="L57" i="97"/>
  <c r="L63" i="97" s="1"/>
  <c r="P27" i="97"/>
  <c r="P28" i="97"/>
  <c r="P29" i="97"/>
  <c r="P30" i="97"/>
  <c r="P37" i="97"/>
  <c r="P38" i="97"/>
  <c r="R38" i="97" s="1"/>
  <c r="P39" i="97"/>
  <c r="D40" i="97"/>
  <c r="F40" i="97" s="1"/>
  <c r="G40" i="97"/>
  <c r="H40" i="97"/>
  <c r="K40" i="97"/>
  <c r="L40" i="97"/>
  <c r="G31" i="97"/>
  <c r="H31" i="97"/>
  <c r="K31" i="97"/>
  <c r="L31" i="97"/>
  <c r="G26" i="97"/>
  <c r="G32" i="97" s="1"/>
  <c r="H26" i="97"/>
  <c r="H32" i="97" s="1"/>
  <c r="K26" i="97"/>
  <c r="K32" i="97" s="1"/>
  <c r="L26" i="97"/>
  <c r="L32" i="97" s="1"/>
  <c r="G17" i="97"/>
  <c r="H17" i="97"/>
  <c r="K17" i="97"/>
  <c r="L17" i="97"/>
  <c r="G12" i="97"/>
  <c r="H12" i="97"/>
  <c r="H33" i="97" s="1"/>
  <c r="K12" i="97"/>
  <c r="L12" i="97"/>
  <c r="O54" i="97"/>
  <c r="O55" i="97"/>
  <c r="O56" i="97"/>
  <c r="L33" i="97" l="1"/>
  <c r="K33" i="97"/>
  <c r="K34" i="97"/>
  <c r="G65" i="97"/>
  <c r="G69" i="97" s="1"/>
  <c r="G33" i="97"/>
  <c r="G34" i="97" s="1"/>
  <c r="L65" i="97"/>
  <c r="L69" i="97" s="1"/>
  <c r="P31" i="97"/>
  <c r="L36" i="97"/>
  <c r="H65" i="97"/>
  <c r="H69" i="97" s="1"/>
  <c r="H36" i="97"/>
  <c r="P68" i="97"/>
  <c r="P40" i="97"/>
  <c r="R40" i="97" s="1"/>
  <c r="H34" i="97"/>
  <c r="H43" i="97" s="1"/>
  <c r="H35" i="97"/>
  <c r="L34" i="97"/>
  <c r="L43" i="97" s="1"/>
  <c r="L35" i="97"/>
  <c r="J11" i="68"/>
  <c r="D47" i="97" s="1"/>
  <c r="Y48" i="45"/>
  <c r="AD41" i="45"/>
  <c r="AF41" i="45" s="1"/>
  <c r="Y26" i="45"/>
  <c r="Z26" i="45" s="1"/>
  <c r="Z29" i="45" s="1"/>
  <c r="Y25" i="45"/>
  <c r="Z25" i="45" s="1"/>
  <c r="T45" i="45"/>
  <c r="T44" i="45"/>
  <c r="T43" i="45"/>
  <c r="T42" i="45"/>
  <c r="T39" i="45"/>
  <c r="V39" i="45" s="1"/>
  <c r="T26" i="45"/>
  <c r="U26" i="45" s="1"/>
  <c r="U29" i="45" s="1"/>
  <c r="T25" i="45"/>
  <c r="U25" i="45" s="1"/>
  <c r="T19" i="45"/>
  <c r="T18" i="45"/>
  <c r="T17" i="45"/>
  <c r="T16" i="45"/>
  <c r="T15" i="45"/>
  <c r="T13" i="45"/>
  <c r="T12" i="45"/>
  <c r="T11" i="45"/>
  <c r="T10" i="45"/>
  <c r="O42" i="45"/>
  <c r="Q42" i="45" s="1"/>
  <c r="O39" i="45"/>
  <c r="Q39" i="45" s="1"/>
  <c r="O26" i="45"/>
  <c r="O19" i="45"/>
  <c r="O18" i="45"/>
  <c r="Q18" i="45" s="1"/>
  <c r="O16" i="45"/>
  <c r="Q16" i="45" s="1"/>
  <c r="J48" i="45"/>
  <c r="J38" i="45"/>
  <c r="J39" i="45" s="1"/>
  <c r="J26" i="45"/>
  <c r="K26" i="45" s="1"/>
  <c r="K29" i="45" s="1"/>
  <c r="J25" i="45"/>
  <c r="K25" i="45" s="1"/>
  <c r="H46" i="45"/>
  <c r="E25" i="45"/>
  <c r="F25" i="45" s="1"/>
  <c r="E26" i="45"/>
  <c r="T9" i="68"/>
  <c r="V9" i="68" s="1"/>
  <c r="T12" i="68"/>
  <c r="R39" i="45"/>
  <c r="R47" i="45" s="1"/>
  <c r="J34" i="88"/>
  <c r="J38" i="88" s="1"/>
  <c r="E12" i="88"/>
  <c r="E13" i="88"/>
  <c r="E16" i="88"/>
  <c r="E17" i="88"/>
  <c r="E18" i="88"/>
  <c r="E20" i="88"/>
  <c r="E21" i="88"/>
  <c r="H69" i="40"/>
  <c r="I69" i="40"/>
  <c r="J69" i="40"/>
  <c r="H67" i="40"/>
  <c r="H55" i="40"/>
  <c r="I55" i="40"/>
  <c r="H51" i="40"/>
  <c r="I51" i="40"/>
  <c r="J51" i="40"/>
  <c r="H17" i="40"/>
  <c r="I17" i="40"/>
  <c r="F28" i="23"/>
  <c r="F29" i="23"/>
  <c r="F27" i="23"/>
  <c r="F30" i="23" s="1"/>
  <c r="F10" i="23"/>
  <c r="F9" i="23"/>
  <c r="F11" i="23" s="1"/>
  <c r="E24" i="25"/>
  <c r="E25" i="25"/>
  <c r="E26" i="25"/>
  <c r="E27" i="25"/>
  <c r="E29" i="25"/>
  <c r="E30" i="25"/>
  <c r="E31" i="25"/>
  <c r="E32" i="25"/>
  <c r="E23" i="25"/>
  <c r="E33" i="25" s="1"/>
  <c r="K8" i="6"/>
  <c r="K10" i="6" s="1"/>
  <c r="K49" i="6"/>
  <c r="K48" i="6"/>
  <c r="K50" i="6" s="1"/>
  <c r="J24" i="31" s="1"/>
  <c r="D24" i="97" s="1"/>
  <c r="K46" i="6"/>
  <c r="K40" i="6"/>
  <c r="K39" i="6"/>
  <c r="K38" i="6"/>
  <c r="K37" i="6"/>
  <c r="K36" i="6"/>
  <c r="K28" i="6"/>
  <c r="K27" i="6"/>
  <c r="K26" i="6"/>
  <c r="K24" i="6"/>
  <c r="K22" i="6"/>
  <c r="K20" i="6"/>
  <c r="F11" i="6"/>
  <c r="F12" i="6"/>
  <c r="F13" i="6"/>
  <c r="F19" i="6"/>
  <c r="F22" i="6"/>
  <c r="F23" i="6"/>
  <c r="F38" i="6"/>
  <c r="F42" i="6"/>
  <c r="F43" i="6"/>
  <c r="F44" i="6"/>
  <c r="F48" i="6"/>
  <c r="F50" i="6" s="1"/>
  <c r="E24" i="31" s="1"/>
  <c r="F49" i="6"/>
  <c r="F8" i="6"/>
  <c r="F10" i="6" s="1"/>
  <c r="E14" i="31" s="1"/>
  <c r="J57" i="40"/>
  <c r="L57" i="40" s="1"/>
  <c r="E18" i="40"/>
  <c r="E19" i="40"/>
  <c r="G19" i="40" s="1"/>
  <c r="E21" i="40"/>
  <c r="G21" i="40" s="1"/>
  <c r="E30" i="40"/>
  <c r="G30" i="40" s="1"/>
  <c r="E31" i="40"/>
  <c r="G31" i="40" s="1"/>
  <c r="E35" i="40"/>
  <c r="G35" i="40" s="1"/>
  <c r="E38" i="40"/>
  <c r="G38" i="40" s="1"/>
  <c r="E52" i="40"/>
  <c r="E55" i="40" s="1"/>
  <c r="G55" i="40" s="1"/>
  <c r="E57" i="40"/>
  <c r="E58" i="40"/>
  <c r="E60" i="40"/>
  <c r="E68" i="40"/>
  <c r="E70" i="40"/>
  <c r="F70" i="40" s="1"/>
  <c r="F71" i="40" s="1"/>
  <c r="E9" i="40"/>
  <c r="E16" i="41"/>
  <c r="F12" i="39"/>
  <c r="F15" i="39"/>
  <c r="F16" i="39"/>
  <c r="F18" i="39"/>
  <c r="F20" i="39"/>
  <c r="F21" i="39"/>
  <c r="F24" i="39"/>
  <c r="F25" i="39"/>
  <c r="F26" i="39"/>
  <c r="F27" i="39"/>
  <c r="F31" i="39"/>
  <c r="F32" i="39"/>
  <c r="F39" i="39"/>
  <c r="F41" i="39"/>
  <c r="E15" i="68"/>
  <c r="K9" i="38"/>
  <c r="K8" i="38"/>
  <c r="K16" i="38"/>
  <c r="K15" i="38"/>
  <c r="K14" i="38"/>
  <c r="K13" i="38"/>
  <c r="K11" i="38"/>
  <c r="K12" i="38"/>
  <c r="F13" i="38"/>
  <c r="F14" i="38"/>
  <c r="F16" i="38"/>
  <c r="F17" i="38"/>
  <c r="F18" i="38"/>
  <c r="F19" i="38"/>
  <c r="F20" i="38"/>
  <c r="F21" i="38"/>
  <c r="F22" i="38"/>
  <c r="F23" i="38"/>
  <c r="K11" i="92"/>
  <c r="K12" i="92"/>
  <c r="K15" i="92"/>
  <c r="K16" i="92"/>
  <c r="K17" i="92"/>
  <c r="K18" i="92"/>
  <c r="K19" i="92"/>
  <c r="K21" i="92"/>
  <c r="K22" i="92"/>
  <c r="K23" i="92"/>
  <c r="K24" i="92"/>
  <c r="K27" i="92"/>
  <c r="K29" i="92"/>
  <c r="K30" i="92"/>
  <c r="K31" i="92"/>
  <c r="K10" i="92"/>
  <c r="F19" i="92"/>
  <c r="H19" i="92" s="1"/>
  <c r="F21" i="92"/>
  <c r="H21" i="92" s="1"/>
  <c r="F23" i="92"/>
  <c r="H23" i="92" s="1"/>
  <c r="F30" i="92"/>
  <c r="F31" i="92"/>
  <c r="J45" i="93"/>
  <c r="J47" i="93"/>
  <c r="J48" i="93"/>
  <c r="J49" i="93"/>
  <c r="J52" i="93"/>
  <c r="J53" i="93"/>
  <c r="J43" i="93"/>
  <c r="G45" i="93"/>
  <c r="G48" i="93"/>
  <c r="G52" i="93"/>
  <c r="G53" i="93"/>
  <c r="J40" i="93"/>
  <c r="J41" i="93"/>
  <c r="G39" i="93"/>
  <c r="G40" i="93"/>
  <c r="J30" i="93"/>
  <c r="J32" i="93"/>
  <c r="J36" i="93"/>
  <c r="G26" i="93"/>
  <c r="G27" i="93"/>
  <c r="G37" i="93"/>
  <c r="G25" i="93"/>
  <c r="J22" i="93"/>
  <c r="J23" i="93"/>
  <c r="J20" i="93"/>
  <c r="G23" i="93"/>
  <c r="G20" i="93"/>
  <c r="J10" i="93"/>
  <c r="J11" i="93"/>
  <c r="J12" i="93"/>
  <c r="J14" i="93"/>
  <c r="J15" i="93"/>
  <c r="J16" i="93"/>
  <c r="J18" i="93"/>
  <c r="J8" i="93"/>
  <c r="G9" i="93"/>
  <c r="G10" i="93"/>
  <c r="G11" i="93"/>
  <c r="G12" i="93"/>
  <c r="G13" i="93"/>
  <c r="G15" i="93"/>
  <c r="G16" i="93"/>
  <c r="G8" i="93"/>
  <c r="E9" i="25"/>
  <c r="E30" i="31" s="1"/>
  <c r="K7" i="6"/>
  <c r="F7" i="6"/>
  <c r="E8" i="25" s="1"/>
  <c r="E22" i="25" s="1"/>
  <c r="F8" i="23" s="1"/>
  <c r="F26" i="23" s="1"/>
  <c r="F8" i="92" s="1"/>
  <c r="G7" i="93" s="1"/>
  <c r="F7" i="38" s="1"/>
  <c r="F8" i="39" s="1"/>
  <c r="E9" i="41" s="1"/>
  <c r="E8" i="40" s="1"/>
  <c r="E9" i="88" s="1"/>
  <c r="AD12" i="87"/>
  <c r="AF12" i="87" s="1"/>
  <c r="AD14" i="87"/>
  <c r="AF14" i="87" s="1"/>
  <c r="Y12" i="87"/>
  <c r="AA12" i="87" s="1"/>
  <c r="T13" i="87"/>
  <c r="T23" i="87"/>
  <c r="O13" i="87"/>
  <c r="R13" i="87"/>
  <c r="O23" i="87"/>
  <c r="R23" i="87"/>
  <c r="J13" i="87"/>
  <c r="J18" i="87"/>
  <c r="J9" i="31" s="1"/>
  <c r="D11" i="97" s="1"/>
  <c r="P11" i="97" s="1"/>
  <c r="J23" i="87"/>
  <c r="AD7" i="87"/>
  <c r="Y7" i="87"/>
  <c r="T7" i="87"/>
  <c r="O7" i="87"/>
  <c r="J7" i="87"/>
  <c r="E7" i="87"/>
  <c r="T13" i="68"/>
  <c r="V13" i="68" s="1"/>
  <c r="T34" i="68"/>
  <c r="O11" i="68"/>
  <c r="O20" i="68" s="1"/>
  <c r="O26" i="68"/>
  <c r="O34" i="68"/>
  <c r="J19" i="68"/>
  <c r="J34" i="68"/>
  <c r="E23" i="68"/>
  <c r="Y23" i="68" s="1"/>
  <c r="E28" i="68"/>
  <c r="Y28" i="68" s="1"/>
  <c r="E29" i="68"/>
  <c r="Y29" i="68" s="1"/>
  <c r="AD8" i="68"/>
  <c r="Y8" i="68"/>
  <c r="T8" i="68"/>
  <c r="W8" i="68"/>
  <c r="O8" i="68"/>
  <c r="J8" i="68"/>
  <c r="K8" i="92" s="1"/>
  <c r="J7" i="93" s="1"/>
  <c r="K7" i="38" s="1"/>
  <c r="J8" i="40" s="1"/>
  <c r="J9" i="88" s="1"/>
  <c r="E8" i="68"/>
  <c r="AD28" i="31"/>
  <c r="AD38" i="31"/>
  <c r="Y28" i="31"/>
  <c r="Y38" i="31"/>
  <c r="W9" i="31"/>
  <c r="W10" i="31" s="1"/>
  <c r="T17" i="31"/>
  <c r="W17" i="31"/>
  <c r="W18" i="31"/>
  <c r="W19" i="31"/>
  <c r="W22" i="31"/>
  <c r="W24" i="31"/>
  <c r="T29" i="31"/>
  <c r="W29" i="31"/>
  <c r="W31" i="31"/>
  <c r="T34" i="31"/>
  <c r="W34" i="31"/>
  <c r="T40" i="31"/>
  <c r="W40" i="31"/>
  <c r="W44" i="31"/>
  <c r="W46" i="31"/>
  <c r="O17" i="31"/>
  <c r="O19" i="31"/>
  <c r="O29" i="31"/>
  <c r="O31" i="31"/>
  <c r="O34" i="31"/>
  <c r="O40" i="31"/>
  <c r="O44" i="31"/>
  <c r="D13" i="97"/>
  <c r="P13" i="97" s="1"/>
  <c r="J20" i="31"/>
  <c r="J23" i="31"/>
  <c r="J25" i="31"/>
  <c r="L25" i="31" s="1"/>
  <c r="J29" i="31"/>
  <c r="J31" i="31"/>
  <c r="J34" i="31"/>
  <c r="J40" i="31"/>
  <c r="J44" i="31"/>
  <c r="E23" i="31"/>
  <c r="G23" i="31" s="1"/>
  <c r="E25" i="31"/>
  <c r="E27" i="31"/>
  <c r="AD27" i="31" s="1"/>
  <c r="E29" i="31"/>
  <c r="E32" i="31"/>
  <c r="E33" i="31"/>
  <c r="E39" i="31"/>
  <c r="Q12" i="31" l="1"/>
  <c r="Q23" i="87"/>
  <c r="D12" i="104"/>
  <c r="F12" i="104" s="1"/>
  <c r="G14" i="31"/>
  <c r="D27" i="104"/>
  <c r="F27" i="104" s="1"/>
  <c r="G32" i="31"/>
  <c r="D23" i="104"/>
  <c r="G25" i="31"/>
  <c r="D23" i="97"/>
  <c r="L23" i="31"/>
  <c r="D20" i="97"/>
  <c r="F20" i="97" s="1"/>
  <c r="L20" i="31"/>
  <c r="D22" i="104"/>
  <c r="L22" i="104" s="1"/>
  <c r="N22" i="104" s="1"/>
  <c r="G24" i="31"/>
  <c r="D12" i="98"/>
  <c r="F12" i="98" s="1"/>
  <c r="AF12" i="31"/>
  <c r="G12" i="31"/>
  <c r="L23" i="104"/>
  <c r="N23" i="104" s="1"/>
  <c r="F23" i="104"/>
  <c r="F22" i="104"/>
  <c r="D56" i="109"/>
  <c r="F56" i="109" s="1"/>
  <c r="L48" i="45"/>
  <c r="D55" i="103"/>
  <c r="L55" i="103" s="1"/>
  <c r="N55" i="103" s="1"/>
  <c r="AA48" i="45"/>
  <c r="D45" i="109"/>
  <c r="F45" i="109" s="1"/>
  <c r="L39" i="45"/>
  <c r="H18" i="101"/>
  <c r="J18" i="101" s="1"/>
  <c r="Q19" i="45"/>
  <c r="G9" i="40"/>
  <c r="E17" i="40"/>
  <c r="G17" i="40" s="1"/>
  <c r="F21" i="68"/>
  <c r="G18" i="40"/>
  <c r="E69" i="40"/>
  <c r="G69" i="40" s="1"/>
  <c r="G68" i="40"/>
  <c r="AD12" i="68"/>
  <c r="V12" i="68"/>
  <c r="D62" i="109"/>
  <c r="U27" i="45"/>
  <c r="U28" i="45"/>
  <c r="O47" i="45"/>
  <c r="Q47" i="45" s="1"/>
  <c r="D45" i="101"/>
  <c r="F45" i="101" s="1"/>
  <c r="AD26" i="45"/>
  <c r="F26" i="45"/>
  <c r="F27" i="45" s="1"/>
  <c r="T47" i="45"/>
  <c r="V47" i="45" s="1"/>
  <c r="D44" i="102"/>
  <c r="F44" i="102" s="1"/>
  <c r="AE25" i="45"/>
  <c r="F28" i="45"/>
  <c r="D61" i="109"/>
  <c r="F61" i="109" s="1"/>
  <c r="H24" i="101"/>
  <c r="Z28" i="45"/>
  <c r="Z27" i="45"/>
  <c r="AD33" i="31"/>
  <c r="D28" i="104"/>
  <c r="L28" i="104" s="1"/>
  <c r="AD39" i="31"/>
  <c r="D35" i="104"/>
  <c r="L35" i="104" s="1"/>
  <c r="L12" i="98"/>
  <c r="N12" i="98" s="1"/>
  <c r="D31" i="98"/>
  <c r="F31" i="98" s="1"/>
  <c r="AD23" i="31"/>
  <c r="AF23" i="31" s="1"/>
  <c r="D21" i="104"/>
  <c r="L12" i="104"/>
  <c r="N12" i="104" s="1"/>
  <c r="F26" i="38"/>
  <c r="F15" i="6"/>
  <c r="E15" i="31" s="1"/>
  <c r="Y27" i="31"/>
  <c r="J19" i="87"/>
  <c r="J24" i="87" s="1"/>
  <c r="J24" i="93"/>
  <c r="J42" i="93"/>
  <c r="F45" i="6"/>
  <c r="E22" i="31" s="1"/>
  <c r="D20" i="104" s="1"/>
  <c r="L20" i="104" s="1"/>
  <c r="F23" i="39"/>
  <c r="K41" i="6"/>
  <c r="J21" i="31" s="1"/>
  <c r="D21" i="97" s="1"/>
  <c r="J19" i="93"/>
  <c r="G24" i="93"/>
  <c r="G42" i="93"/>
  <c r="E25" i="41"/>
  <c r="F35" i="39" s="1"/>
  <c r="J8" i="31"/>
  <c r="E16" i="68"/>
  <c r="AD16" i="68" s="1"/>
  <c r="AF16" i="68" s="1"/>
  <c r="J22" i="68"/>
  <c r="AD25" i="45"/>
  <c r="AD48" i="45"/>
  <c r="W47" i="31"/>
  <c r="K15" i="6"/>
  <c r="J15" i="31" s="1"/>
  <c r="J47" i="45"/>
  <c r="L47" i="45" s="1"/>
  <c r="W26" i="31"/>
  <c r="J54" i="93"/>
  <c r="O37" i="31"/>
  <c r="O27" i="68"/>
  <c r="O35" i="68" s="1"/>
  <c r="J16" i="31"/>
  <c r="L16" i="31" s="1"/>
  <c r="D16" i="97"/>
  <c r="F16" i="97" s="1"/>
  <c r="H71" i="40"/>
  <c r="E34" i="31"/>
  <c r="G34" i="31" s="1"/>
  <c r="J14" i="31"/>
  <c r="Y25" i="31"/>
  <c r="AA25" i="31" s="1"/>
  <c r="AD23" i="68"/>
  <c r="AD29" i="68"/>
  <c r="E30" i="68"/>
  <c r="AD28" i="68"/>
  <c r="E40" i="31"/>
  <c r="Y40" i="31" s="1"/>
  <c r="Y39" i="31"/>
  <c r="Y33" i="31"/>
  <c r="AD32" i="31"/>
  <c r="Y32" i="31"/>
  <c r="AA32" i="31" s="1"/>
  <c r="E31" i="31"/>
  <c r="D26" i="104" s="1"/>
  <c r="L26" i="104" s="1"/>
  <c r="Y23" i="31"/>
  <c r="AA23" i="31" s="1"/>
  <c r="AD25" i="31"/>
  <c r="AF25" i="31" s="1"/>
  <c r="Y12" i="31"/>
  <c r="Y13" i="31" s="1"/>
  <c r="Y12" i="68"/>
  <c r="Y9" i="68"/>
  <c r="AA9" i="68" s="1"/>
  <c r="AD9" i="68"/>
  <c r="AF9" i="68" s="1"/>
  <c r="Y29" i="31"/>
  <c r="D12" i="4" s="1"/>
  <c r="F12" i="4" s="1"/>
  <c r="AD29" i="31"/>
  <c r="I12" i="4" s="1"/>
  <c r="K12" i="4" s="1"/>
  <c r="I9" i="4"/>
  <c r="K9" i="4" s="1"/>
  <c r="L56" i="109" l="1"/>
  <c r="L45" i="109"/>
  <c r="D34" i="109"/>
  <c r="L34" i="109" s="1"/>
  <c r="F62" i="109"/>
  <c r="D61" i="103"/>
  <c r="F61" i="103" s="1"/>
  <c r="F55" i="103"/>
  <c r="L27" i="104"/>
  <c r="N27" i="104" s="1"/>
  <c r="D13" i="104"/>
  <c r="L13" i="104" s="1"/>
  <c r="N13" i="104" s="1"/>
  <c r="G15" i="31"/>
  <c r="P23" i="97"/>
  <c r="R23" i="97" s="1"/>
  <c r="F23" i="97"/>
  <c r="AD34" i="31"/>
  <c r="AF32" i="31"/>
  <c r="D11" i="104"/>
  <c r="G13" i="31"/>
  <c r="AA12" i="31"/>
  <c r="H30" i="101"/>
  <c r="J30" i="101" s="1"/>
  <c r="J24" i="101"/>
  <c r="F13" i="104"/>
  <c r="L21" i="104"/>
  <c r="N21" i="104" s="1"/>
  <c r="F21" i="104"/>
  <c r="D29" i="104"/>
  <c r="F29" i="104" s="1"/>
  <c r="U35" i="45"/>
  <c r="T21" i="68"/>
  <c r="V21" i="68" s="1"/>
  <c r="AF48" i="45"/>
  <c r="AF25" i="45"/>
  <c r="Z35" i="45"/>
  <c r="AE21" i="68"/>
  <c r="F26" i="68"/>
  <c r="E61" i="104"/>
  <c r="E67" i="104" s="1"/>
  <c r="Z21" i="68"/>
  <c r="L44" i="102"/>
  <c r="N44" i="102" s="1"/>
  <c r="D60" i="102"/>
  <c r="F60" i="102" s="1"/>
  <c r="P45" i="101"/>
  <c r="R45" i="101" s="1"/>
  <c r="D61" i="101"/>
  <c r="F61" i="101" s="1"/>
  <c r="D63" i="109"/>
  <c r="U31" i="31"/>
  <c r="U30" i="31"/>
  <c r="D33" i="103"/>
  <c r="L33" i="103" s="1"/>
  <c r="AE26" i="45"/>
  <c r="F29" i="45"/>
  <c r="AE29" i="45" s="1"/>
  <c r="F35" i="45"/>
  <c r="O9" i="4"/>
  <c r="Q9" i="4" s="1"/>
  <c r="AA12" i="68"/>
  <c r="H32" i="101"/>
  <c r="T9" i="4"/>
  <c r="V9" i="4" s="1"/>
  <c r="AF12" i="68"/>
  <c r="L29" i="104"/>
  <c r="N29" i="104" s="1"/>
  <c r="AD15" i="31"/>
  <c r="AF15" i="31" s="1"/>
  <c r="D15" i="97"/>
  <c r="P15" i="97" s="1"/>
  <c r="L31" i="98"/>
  <c r="N31" i="98" s="1"/>
  <c r="D34" i="98"/>
  <c r="L34" i="98" s="1"/>
  <c r="D32" i="98"/>
  <c r="F32" i="98" s="1"/>
  <c r="Y14" i="31"/>
  <c r="AA14" i="31" s="1"/>
  <c r="D14" i="97"/>
  <c r="P14" i="97" s="1"/>
  <c r="J10" i="31"/>
  <c r="D10" i="97"/>
  <c r="K21" i="6"/>
  <c r="Y15" i="31"/>
  <c r="AA15" i="31" s="1"/>
  <c r="J17" i="31"/>
  <c r="L17" i="31" s="1"/>
  <c r="AD40" i="31"/>
  <c r="AD14" i="31"/>
  <c r="AF14" i="31" s="1"/>
  <c r="Y16" i="68"/>
  <c r="AA16" i="68" s="1"/>
  <c r="T30" i="31"/>
  <c r="T31" i="31"/>
  <c r="P16" i="97"/>
  <c r="AD30" i="68"/>
  <c r="Y30" i="68"/>
  <c r="Y34" i="31"/>
  <c r="D31" i="104" l="1"/>
  <c r="F31" i="104" s="1"/>
  <c r="H33" i="101"/>
  <c r="L61" i="103"/>
  <c r="N61" i="103" s="1"/>
  <c r="L61" i="109"/>
  <c r="N45" i="109"/>
  <c r="D67" i="109"/>
  <c r="F67" i="109" s="1"/>
  <c r="F63" i="109"/>
  <c r="L62" i="109"/>
  <c r="N62" i="109" s="1"/>
  <c r="N56" i="109"/>
  <c r="D14" i="4"/>
  <c r="F14" i="4" s="1"/>
  <c r="AA34" i="31"/>
  <c r="P17" i="97"/>
  <c r="R17" i="97" s="1"/>
  <c r="R16" i="97"/>
  <c r="I14" i="4"/>
  <c r="K14" i="4" s="1"/>
  <c r="AF34" i="31"/>
  <c r="D9" i="4"/>
  <c r="F9" i="4" s="1"/>
  <c r="F11" i="104"/>
  <c r="L11" i="104"/>
  <c r="N11" i="104" s="1"/>
  <c r="H41" i="101"/>
  <c r="J41" i="101" s="1"/>
  <c r="J32" i="101"/>
  <c r="V31" i="31"/>
  <c r="M61" i="104"/>
  <c r="F37" i="31"/>
  <c r="F27" i="68"/>
  <c r="F35" i="68" s="1"/>
  <c r="Z26" i="68"/>
  <c r="Z27" i="68" s="1"/>
  <c r="Z35" i="68" s="1"/>
  <c r="P13" i="4"/>
  <c r="P16" i="4" s="1"/>
  <c r="AE26" i="68"/>
  <c r="U13" i="4"/>
  <c r="U16" i="4" s="1"/>
  <c r="P61" i="101"/>
  <c r="R61" i="101" s="1"/>
  <c r="D63" i="101"/>
  <c r="F63" i="101" s="1"/>
  <c r="AE30" i="31"/>
  <c r="V30" i="31"/>
  <c r="Z30" i="31"/>
  <c r="L60" i="102"/>
  <c r="N60" i="102" s="1"/>
  <c r="D32" i="102"/>
  <c r="L32" i="102" s="1"/>
  <c r="D62" i="102"/>
  <c r="F62" i="102" s="1"/>
  <c r="P10" i="97"/>
  <c r="P12" i="97" s="1"/>
  <c r="P33" i="97" s="1"/>
  <c r="D12" i="97"/>
  <c r="D33" i="97" s="1"/>
  <c r="L31" i="104"/>
  <c r="N31" i="104" s="1"/>
  <c r="L32" i="98"/>
  <c r="N32" i="98" s="1"/>
  <c r="D17" i="97"/>
  <c r="F17" i="97" s="1"/>
  <c r="AD30" i="31"/>
  <c r="AD31" i="31" s="1"/>
  <c r="I13" i="4" s="1"/>
  <c r="Y30" i="31"/>
  <c r="Y31" i="31" s="1"/>
  <c r="D13" i="4" s="1"/>
  <c r="N61" i="109" l="1"/>
  <c r="L63" i="109"/>
  <c r="P18" i="4"/>
  <c r="E68" i="104"/>
  <c r="M68" i="104" s="1"/>
  <c r="E34" i="104"/>
  <c r="M34" i="104" s="1"/>
  <c r="M67" i="104"/>
  <c r="U18" i="4"/>
  <c r="Z37" i="31"/>
  <c r="AE27" i="68"/>
  <c r="AE35" i="68" s="1"/>
  <c r="AE37" i="31"/>
  <c r="AE31" i="31"/>
  <c r="AF30" i="31"/>
  <c r="L62" i="102"/>
  <c r="N62" i="102" s="1"/>
  <c r="D66" i="102"/>
  <c r="D67" i="101"/>
  <c r="P63" i="101"/>
  <c r="R63" i="101" s="1"/>
  <c r="Z31" i="31"/>
  <c r="AA30" i="31"/>
  <c r="L66" i="102" l="1"/>
  <c r="N66" i="102" s="1"/>
  <c r="F66" i="102"/>
  <c r="L67" i="109"/>
  <c r="N67" i="109" s="1"/>
  <c r="N63" i="109"/>
  <c r="P67" i="101"/>
  <c r="F67" i="101"/>
  <c r="E74" i="104"/>
  <c r="M74" i="104" s="1"/>
  <c r="E13" i="4"/>
  <c r="F13" i="4" s="1"/>
  <c r="AA31" i="31"/>
  <c r="J13" i="4"/>
  <c r="K13" i="4" s="1"/>
  <c r="AF31" i="31"/>
  <c r="D42" i="39"/>
  <c r="A4" i="90"/>
  <c r="A4" i="107"/>
  <c r="R67" i="101" l="1"/>
  <c r="D17" i="25"/>
  <c r="E17" i="25" s="1"/>
  <c r="I25" i="6" l="1"/>
  <c r="E30" i="39" l="1"/>
  <c r="E24" i="6"/>
  <c r="F33" i="39" l="1"/>
  <c r="E17" i="68" s="1"/>
  <c r="E25" i="6"/>
  <c r="F25" i="6"/>
  <c r="D27" i="40"/>
  <c r="E27" i="40" s="1"/>
  <c r="H40" i="31"/>
  <c r="I40" i="31"/>
  <c r="M40" i="31"/>
  <c r="N40" i="31"/>
  <c r="R40" i="31"/>
  <c r="S40" i="31"/>
  <c r="G27" i="40" l="1"/>
  <c r="E51" i="40"/>
  <c r="G51" i="40" s="1"/>
  <c r="AD17" i="68"/>
  <c r="AF17" i="68" s="1"/>
  <c r="Y17" i="68"/>
  <c r="AA17" i="68" s="1"/>
  <c r="E18" i="31"/>
  <c r="D51" i="40"/>
  <c r="D14" i="41"/>
  <c r="E14" i="41" s="1"/>
  <c r="D16" i="104" l="1"/>
  <c r="G18" i="31"/>
  <c r="L16" i="104"/>
  <c r="N16" i="104" s="1"/>
  <c r="F16" i="104"/>
  <c r="E14" i="23"/>
  <c r="G67" i="90"/>
  <c r="G51" i="90"/>
  <c r="E43" i="31" l="1"/>
  <c r="I31" i="18"/>
  <c r="N10" i="82"/>
  <c r="D38" i="104" l="1"/>
  <c r="L38" i="104" s="1"/>
  <c r="N38" i="104" s="1"/>
  <c r="G43" i="31"/>
  <c r="AD43" i="31"/>
  <c r="AF43" i="31" s="1"/>
  <c r="Y43" i="31"/>
  <c r="AA43" i="31" s="1"/>
  <c r="K58" i="97"/>
  <c r="K64" i="97" s="1"/>
  <c r="K65" i="97" s="1"/>
  <c r="K69" i="97" s="1"/>
  <c r="K35" i="97"/>
  <c r="K42" i="97"/>
  <c r="K43" i="97" s="1"/>
  <c r="C48" i="97"/>
  <c r="A4" i="109"/>
  <c r="K66" i="109"/>
  <c r="G66" i="109"/>
  <c r="C66" i="109"/>
  <c r="G62" i="109"/>
  <c r="C62" i="109"/>
  <c r="G61" i="109"/>
  <c r="K60" i="109"/>
  <c r="K59" i="109"/>
  <c r="K58" i="109"/>
  <c r="K57" i="109"/>
  <c r="K56" i="109"/>
  <c r="K55" i="109"/>
  <c r="K54" i="109"/>
  <c r="K53" i="109"/>
  <c r="K52" i="109"/>
  <c r="K51" i="109"/>
  <c r="K50" i="109"/>
  <c r="K48" i="109"/>
  <c r="K47" i="109"/>
  <c r="K46" i="109"/>
  <c r="K45" i="109"/>
  <c r="G40" i="109"/>
  <c r="C40" i="109"/>
  <c r="K40" i="109" s="1"/>
  <c r="K39" i="109"/>
  <c r="K38" i="109"/>
  <c r="K37" i="109"/>
  <c r="K36" i="109"/>
  <c r="K35" i="109"/>
  <c r="G31" i="109"/>
  <c r="G34" i="109" s="1"/>
  <c r="C31" i="109"/>
  <c r="C34" i="109" s="1"/>
  <c r="G24" i="109"/>
  <c r="G30" i="109" s="1"/>
  <c r="C30" i="109"/>
  <c r="K9" i="109"/>
  <c r="A4" i="108"/>
  <c r="K65" i="108"/>
  <c r="G65" i="108"/>
  <c r="C65" i="108"/>
  <c r="G61" i="108"/>
  <c r="C61" i="108"/>
  <c r="G60" i="108"/>
  <c r="K59" i="108"/>
  <c r="K58" i="108"/>
  <c r="K57" i="108"/>
  <c r="K56" i="108"/>
  <c r="K55" i="108"/>
  <c r="K54" i="108"/>
  <c r="K53" i="108"/>
  <c r="K52" i="108"/>
  <c r="K51" i="108"/>
  <c r="K50" i="108"/>
  <c r="K49" i="108"/>
  <c r="K47" i="108"/>
  <c r="K45" i="108"/>
  <c r="G39" i="108"/>
  <c r="C39" i="108"/>
  <c r="K34" i="108"/>
  <c r="G30" i="108"/>
  <c r="C30" i="108"/>
  <c r="G23" i="108"/>
  <c r="C23" i="108"/>
  <c r="F38" i="104" l="1"/>
  <c r="K23" i="108"/>
  <c r="C29" i="108"/>
  <c r="G33" i="108"/>
  <c r="G63" i="109"/>
  <c r="G67" i="109" s="1"/>
  <c r="O48" i="97"/>
  <c r="O19" i="97"/>
  <c r="K36" i="97"/>
  <c r="G36" i="97"/>
  <c r="K61" i="109"/>
  <c r="C33" i="108"/>
  <c r="K33" i="108" s="1"/>
  <c r="G62" i="108"/>
  <c r="G66" i="108" s="1"/>
  <c r="K34" i="109"/>
  <c r="K30" i="108"/>
  <c r="K39" i="108"/>
  <c r="K61" i="108"/>
  <c r="C62" i="108"/>
  <c r="C66" i="108" s="1"/>
  <c r="K62" i="109"/>
  <c r="K63" i="109" s="1"/>
  <c r="K67" i="109" s="1"/>
  <c r="K60" i="108"/>
  <c r="K31" i="109"/>
  <c r="C63" i="109"/>
  <c r="C67" i="109" s="1"/>
  <c r="C32" i="109"/>
  <c r="K30" i="109"/>
  <c r="C33" i="109"/>
  <c r="G32" i="109"/>
  <c r="G41" i="109" s="1"/>
  <c r="G33" i="109"/>
  <c r="C31" i="108"/>
  <c r="C32" i="108"/>
  <c r="G29" i="108"/>
  <c r="K29" i="108" l="1"/>
  <c r="K62" i="108"/>
  <c r="K66" i="108" s="1"/>
  <c r="K33" i="109"/>
  <c r="K32" i="109"/>
  <c r="C41" i="109"/>
  <c r="K41" i="109" s="1"/>
  <c r="G31" i="108"/>
  <c r="G40" i="108" s="1"/>
  <c r="G32" i="108"/>
  <c r="K32" i="108" s="1"/>
  <c r="C40" i="108"/>
  <c r="K31" i="108" l="1"/>
  <c r="K40" i="108"/>
  <c r="D42" i="106"/>
  <c r="E42" i="106"/>
  <c r="F42" i="106" s="1"/>
  <c r="C67" i="97"/>
  <c r="O67" i="97" s="1"/>
  <c r="C66" i="97"/>
  <c r="O66" i="97" s="1"/>
  <c r="C61" i="97"/>
  <c r="C60" i="97"/>
  <c r="C53" i="97"/>
  <c r="C52" i="97"/>
  <c r="C39" i="97"/>
  <c r="O39" i="97" s="1"/>
  <c r="C38" i="97"/>
  <c r="O38" i="97" s="1"/>
  <c r="C37" i="97"/>
  <c r="O37" i="97" s="1"/>
  <c r="C30" i="97"/>
  <c r="O30" i="97" s="1"/>
  <c r="C29" i="97"/>
  <c r="C48" i="104"/>
  <c r="K48" i="104" s="1"/>
  <c r="D60" i="97" l="1"/>
  <c r="E60" i="97" s="1"/>
  <c r="O60" i="97"/>
  <c r="D52" i="97"/>
  <c r="E52" i="97" s="1"/>
  <c r="O52" i="97"/>
  <c r="D61" i="97"/>
  <c r="O61" i="97"/>
  <c r="C31" i="97"/>
  <c r="O29" i="97"/>
  <c r="O31" i="97" s="1"/>
  <c r="O40" i="97"/>
  <c r="D53" i="97"/>
  <c r="O53" i="97"/>
  <c r="O68" i="97"/>
  <c r="C57" i="97"/>
  <c r="C62" i="97"/>
  <c r="C40" i="97"/>
  <c r="C51" i="104"/>
  <c r="K51" i="104" s="1"/>
  <c r="C57" i="104"/>
  <c r="K57" i="104" s="1"/>
  <c r="C58" i="98"/>
  <c r="K58" i="98" s="1"/>
  <c r="C57" i="98"/>
  <c r="K57" i="98" s="1"/>
  <c r="C56" i="98"/>
  <c r="K56" i="98" s="1"/>
  <c r="C55" i="98"/>
  <c r="K55" i="98" s="1"/>
  <c r="C54" i="98"/>
  <c r="K54" i="98" s="1"/>
  <c r="C50" i="98"/>
  <c r="K50" i="98" s="1"/>
  <c r="C49" i="98"/>
  <c r="K49" i="98" s="1"/>
  <c r="C46" i="98"/>
  <c r="K46" i="98" s="1"/>
  <c r="C47" i="98"/>
  <c r="K47" i="98" s="1"/>
  <c r="C48" i="98"/>
  <c r="K48" i="98" s="1"/>
  <c r="C39" i="98"/>
  <c r="K39" i="98" s="1"/>
  <c r="C37" i="98"/>
  <c r="K37" i="98" s="1"/>
  <c r="C36" i="98"/>
  <c r="K36" i="98" s="1"/>
  <c r="C35" i="98"/>
  <c r="K35" i="98" s="1"/>
  <c r="C28" i="98"/>
  <c r="K28" i="98" s="1"/>
  <c r="C27" i="98"/>
  <c r="K27" i="98" s="1"/>
  <c r="C22" i="98"/>
  <c r="K22" i="98" s="1"/>
  <c r="C19" i="98"/>
  <c r="K19" i="98" s="1"/>
  <c r="C20" i="98"/>
  <c r="K20" i="98" s="1"/>
  <c r="C21" i="98"/>
  <c r="K21" i="98" s="1"/>
  <c r="C17" i="98"/>
  <c r="K17" i="98" s="1"/>
  <c r="C13" i="98"/>
  <c r="K13" i="98" s="1"/>
  <c r="C14" i="98"/>
  <c r="K14" i="98" s="1"/>
  <c r="C15" i="98"/>
  <c r="K15" i="98" s="1"/>
  <c r="C10" i="98"/>
  <c r="K10" i="98" s="1"/>
  <c r="C9" i="98"/>
  <c r="K9" i="98" s="1"/>
  <c r="Q52" i="97" l="1"/>
  <c r="P53" i="97"/>
  <c r="E53" i="97"/>
  <c r="Q53" i="97" s="1"/>
  <c r="P61" i="97"/>
  <c r="E61" i="97"/>
  <c r="Q61" i="97" s="1"/>
  <c r="E62" i="97"/>
  <c r="Q60" i="97"/>
  <c r="Q62" i="97" s="1"/>
  <c r="O62" i="97"/>
  <c r="P52" i="97"/>
  <c r="P57" i="97" s="1"/>
  <c r="D57" i="97"/>
  <c r="O57" i="97"/>
  <c r="D62" i="97"/>
  <c r="P60" i="97"/>
  <c r="P62" i="97" s="1"/>
  <c r="C59" i="98"/>
  <c r="K59" i="98" s="1"/>
  <c r="C38" i="98"/>
  <c r="G39" i="96"/>
  <c r="F39" i="96"/>
  <c r="E39" i="96"/>
  <c r="D39" i="96"/>
  <c r="C39" i="96"/>
  <c r="L26" i="91"/>
  <c r="F28" i="91"/>
  <c r="D11" i="91"/>
  <c r="E57" i="97" l="1"/>
  <c r="E63" i="97" s="1"/>
  <c r="Q57" i="97"/>
  <c r="Q63" i="97" s="1"/>
  <c r="C40" i="98"/>
  <c r="K40" i="98" s="1"/>
  <c r="K38" i="98"/>
  <c r="F35" i="93"/>
  <c r="Q35" i="97" l="1"/>
  <c r="E35" i="97"/>
  <c r="B28" i="107"/>
  <c r="D27" i="31" l="1"/>
  <c r="E13" i="23" l="1"/>
  <c r="I58" i="40" l="1"/>
  <c r="J58" i="40" s="1"/>
  <c r="L58" i="40" s="1"/>
  <c r="E42" i="31" l="1"/>
  <c r="F15" i="23"/>
  <c r="E37" i="6"/>
  <c r="F37" i="6" s="1"/>
  <c r="F41" i="6" s="1"/>
  <c r="E21" i="31" s="1"/>
  <c r="J34" i="6"/>
  <c r="J33" i="6"/>
  <c r="J32" i="6"/>
  <c r="K32" i="6" s="1"/>
  <c r="J31" i="6"/>
  <c r="K31" i="6" s="1"/>
  <c r="J30" i="6"/>
  <c r="J44" i="6"/>
  <c r="K44" i="6" s="1"/>
  <c r="M44" i="6" s="1"/>
  <c r="J43" i="6"/>
  <c r="K43" i="6" s="1"/>
  <c r="M43" i="6" s="1"/>
  <c r="J42" i="6"/>
  <c r="K42" i="6" s="1"/>
  <c r="M42" i="6" s="1"/>
  <c r="E27" i="6"/>
  <c r="D19" i="104" l="1"/>
  <c r="F19" i="104" s="1"/>
  <c r="G21" i="31"/>
  <c r="D37" i="104"/>
  <c r="F37" i="104" s="1"/>
  <c r="G42" i="31"/>
  <c r="L19" i="104"/>
  <c r="N19" i="104" s="1"/>
  <c r="L37" i="104"/>
  <c r="N37" i="104" s="1"/>
  <c r="D39" i="104"/>
  <c r="F39" i="104" s="1"/>
  <c r="K45" i="6"/>
  <c r="AD21" i="31"/>
  <c r="AF21" i="31" s="1"/>
  <c r="Y21" i="31"/>
  <c r="AA21" i="31" s="1"/>
  <c r="E44" i="31"/>
  <c r="G44" i="31" s="1"/>
  <c r="H26" i="18"/>
  <c r="F43" i="93"/>
  <c r="D15" i="87"/>
  <c r="E15" i="87" s="1"/>
  <c r="G15" i="87" s="1"/>
  <c r="J22" i="31" l="1"/>
  <c r="M45" i="6"/>
  <c r="D22" i="97"/>
  <c r="F22" i="97" s="1"/>
  <c r="L22" i="31"/>
  <c r="D42" i="104"/>
  <c r="L39" i="104"/>
  <c r="N39" i="104" s="1"/>
  <c r="Y15" i="87"/>
  <c r="AA15" i="87" s="1"/>
  <c r="E18" i="87"/>
  <c r="G18" i="87" s="1"/>
  <c r="AD15" i="87"/>
  <c r="AF15" i="87" s="1"/>
  <c r="E47" i="31"/>
  <c r="G47" i="31" s="1"/>
  <c r="D15" i="41"/>
  <c r="E15" i="41" s="1"/>
  <c r="D13" i="41"/>
  <c r="E13" i="41" s="1"/>
  <c r="L42" i="104" l="1"/>
  <c r="N42" i="104" s="1"/>
  <c r="F42" i="104"/>
  <c r="E9" i="31"/>
  <c r="J43" i="92"/>
  <c r="D9" i="104" l="1"/>
  <c r="L9" i="104" s="1"/>
  <c r="N9" i="104" s="1"/>
  <c r="G9" i="31"/>
  <c r="E43" i="92"/>
  <c r="F9" i="104" l="1"/>
  <c r="C28" i="107"/>
  <c r="B32" i="107"/>
  <c r="B15" i="107"/>
  <c r="B14" i="107"/>
  <c r="B13" i="107"/>
  <c r="C12" i="107"/>
  <c r="B12" i="107" s="1"/>
  <c r="C15" i="107" l="1"/>
  <c r="C32" i="107" s="1"/>
  <c r="J42" i="92"/>
  <c r="J41" i="92"/>
  <c r="J40" i="92"/>
  <c r="J39" i="92"/>
  <c r="J35" i="92"/>
  <c r="J34" i="92"/>
  <c r="J38" i="92"/>
  <c r="D56" i="40" l="1"/>
  <c r="E56" i="40" s="1"/>
  <c r="G56" i="40" l="1"/>
  <c r="E67" i="40"/>
  <c r="G67" i="40" s="1"/>
  <c r="D67" i="40"/>
  <c r="E32" i="23"/>
  <c r="F32" i="23" s="1"/>
  <c r="E32" i="68" s="1"/>
  <c r="N17" i="87"/>
  <c r="J45" i="6"/>
  <c r="E26" i="6"/>
  <c r="F26" i="6" s="1"/>
  <c r="E11" i="23"/>
  <c r="D11" i="23"/>
  <c r="D39" i="31"/>
  <c r="C29" i="68"/>
  <c r="D29" i="68"/>
  <c r="D28" i="68"/>
  <c r="Y32" i="68" l="1"/>
  <c r="AD32" i="68"/>
  <c r="AD34" i="68" s="1"/>
  <c r="T17" i="4" s="1"/>
  <c r="V17" i="4" s="1"/>
  <c r="E71" i="40"/>
  <c r="G71" i="40" s="1"/>
  <c r="C35" i="104"/>
  <c r="K35" i="104" s="1"/>
  <c r="D40" i="31"/>
  <c r="AB29" i="68"/>
  <c r="W29" i="68"/>
  <c r="D30" i="68"/>
  <c r="C69" i="104" s="1"/>
  <c r="K69" i="104" s="1"/>
  <c r="AC29" i="68"/>
  <c r="X29" i="68"/>
  <c r="I56" i="40"/>
  <c r="J56" i="40" s="1"/>
  <c r="L56" i="40" l="1"/>
  <c r="J67" i="40"/>
  <c r="L67" i="40" s="1"/>
  <c r="E21" i="68"/>
  <c r="I67" i="40"/>
  <c r="I71" i="40" s="1"/>
  <c r="D17" i="41"/>
  <c r="E17" i="41" s="1"/>
  <c r="D61" i="104" l="1"/>
  <c r="F61" i="104" s="1"/>
  <c r="G21" i="68"/>
  <c r="J71" i="40"/>
  <c r="I34" i="93"/>
  <c r="D67" i="104" l="1"/>
  <c r="F67" i="104" s="1"/>
  <c r="L61" i="104"/>
  <c r="N61" i="104" s="1"/>
  <c r="J21" i="68"/>
  <c r="L71" i="40"/>
  <c r="L67" i="104"/>
  <c r="N67" i="104" s="1"/>
  <c r="D34" i="104"/>
  <c r="L34" i="104" s="1"/>
  <c r="F34" i="93"/>
  <c r="D58" i="97" l="1"/>
  <c r="F58" i="97" s="1"/>
  <c r="L21" i="68"/>
  <c r="AD21" i="68"/>
  <c r="J26" i="68"/>
  <c r="Y21" i="68"/>
  <c r="D10" i="41"/>
  <c r="E10" i="41" s="1"/>
  <c r="E21" i="41" s="1"/>
  <c r="D11" i="88"/>
  <c r="E11" i="88" s="1"/>
  <c r="D14" i="88"/>
  <c r="E14" i="88" s="1"/>
  <c r="J37" i="31" l="1"/>
  <c r="L26" i="68"/>
  <c r="T13" i="4"/>
  <c r="V13" i="4" s="1"/>
  <c r="AF21" i="68"/>
  <c r="O13" i="4"/>
  <c r="Q13" i="4" s="1"/>
  <c r="AA21" i="68"/>
  <c r="E38" i="88"/>
  <c r="E22" i="68" s="1"/>
  <c r="E27" i="41"/>
  <c r="F36" i="39"/>
  <c r="D34" i="88"/>
  <c r="F70" i="90"/>
  <c r="E72" i="90"/>
  <c r="E70" i="90"/>
  <c r="E68" i="90"/>
  <c r="E49" i="90"/>
  <c r="E29" i="90"/>
  <c r="E74" i="90" l="1"/>
  <c r="S17" i="31"/>
  <c r="S29" i="31"/>
  <c r="S34" i="31"/>
  <c r="S44" i="31"/>
  <c r="S14" i="45"/>
  <c r="T14" i="45" s="1"/>
  <c r="M20" i="45"/>
  <c r="F50" i="93" l="1"/>
  <c r="G54" i="93" l="1"/>
  <c r="C24" i="48"/>
  <c r="C26" i="48" s="1"/>
  <c r="E24" i="48"/>
  <c r="E26" i="48" s="1"/>
  <c r="F24" i="48"/>
  <c r="F26" i="48" s="1"/>
  <c r="B24" i="48"/>
  <c r="B26" i="48" s="1"/>
  <c r="D22" i="48"/>
  <c r="N19" i="31"/>
  <c r="C18" i="98" s="1"/>
  <c r="K18" i="98" s="1"/>
  <c r="J29" i="6" l="1"/>
  <c r="J23" i="6"/>
  <c r="J25" i="6" l="1"/>
  <c r="K23" i="6"/>
  <c r="K25" i="6" s="1"/>
  <c r="J35" i="6"/>
  <c r="K29" i="6"/>
  <c r="K35" i="6" s="1"/>
  <c r="J19" i="31" s="1"/>
  <c r="L19" i="31" s="1"/>
  <c r="D19" i="97" l="1"/>
  <c r="F19" i="97" s="1"/>
  <c r="J18" i="31"/>
  <c r="K52" i="6"/>
  <c r="M52" i="6" s="1"/>
  <c r="F54" i="93"/>
  <c r="F31" i="93"/>
  <c r="F29" i="93"/>
  <c r="F28" i="93"/>
  <c r="F17" i="93"/>
  <c r="E28" i="93"/>
  <c r="D34" i="92"/>
  <c r="D18" i="97" l="1"/>
  <c r="P18" i="97" s="1"/>
  <c r="R18" i="97" s="1"/>
  <c r="L18" i="31"/>
  <c r="D26" i="97"/>
  <c r="F26" i="97" s="1"/>
  <c r="P19" i="97"/>
  <c r="R19" i="97" s="1"/>
  <c r="F19" i="93"/>
  <c r="G19" i="93"/>
  <c r="F38" i="93"/>
  <c r="G38" i="93"/>
  <c r="J26" i="31"/>
  <c r="E41" i="6"/>
  <c r="I54" i="93"/>
  <c r="I29" i="93"/>
  <c r="I24" i="93"/>
  <c r="I19" i="93"/>
  <c r="E36" i="6"/>
  <c r="J35" i="31" l="1"/>
  <c r="L35" i="31" s="1"/>
  <c r="L26" i="31"/>
  <c r="F36" i="6"/>
  <c r="E20" i="31" s="1"/>
  <c r="G55" i="93"/>
  <c r="F9" i="92" s="1"/>
  <c r="I38" i="93"/>
  <c r="J29" i="93"/>
  <c r="J38" i="93" s="1"/>
  <c r="J55" i="93" s="1"/>
  <c r="K9" i="92" s="1"/>
  <c r="K44" i="92" s="1"/>
  <c r="M44" i="92" s="1"/>
  <c r="I11" i="68"/>
  <c r="C47" i="97" s="1"/>
  <c r="D18" i="104" l="1"/>
  <c r="L18" i="104" s="1"/>
  <c r="N18" i="104" s="1"/>
  <c r="G20" i="31"/>
  <c r="F44" i="92"/>
  <c r="H44" i="92" s="1"/>
  <c r="J13" i="68"/>
  <c r="AD20" i="31"/>
  <c r="AF20" i="31" s="1"/>
  <c r="Y20" i="31"/>
  <c r="AA20" i="31" s="1"/>
  <c r="P47" i="97"/>
  <c r="O47" i="97"/>
  <c r="D43" i="6"/>
  <c r="F18" i="104" l="1"/>
  <c r="D49" i="97"/>
  <c r="F49" i="97" s="1"/>
  <c r="L13" i="68"/>
  <c r="E13" i="68"/>
  <c r="E28" i="6"/>
  <c r="F28" i="6" s="1"/>
  <c r="F35" i="6" s="1"/>
  <c r="AD13" i="68" l="1"/>
  <c r="D52" i="104"/>
  <c r="G13" i="68"/>
  <c r="T10" i="4"/>
  <c r="V10" i="4" s="1"/>
  <c r="AF13" i="68"/>
  <c r="Y13" i="68"/>
  <c r="E19" i="31"/>
  <c r="G19" i="31" s="1"/>
  <c r="E35" i="6"/>
  <c r="L52" i="104" l="1"/>
  <c r="N52" i="104" s="1"/>
  <c r="D66" i="104"/>
  <c r="F52" i="104"/>
  <c r="O10" i="4"/>
  <c r="Q10" i="4" s="1"/>
  <c r="AA13" i="68"/>
  <c r="E26" i="31"/>
  <c r="G26" i="31" s="1"/>
  <c r="D17" i="104"/>
  <c r="F17" i="104" s="1"/>
  <c r="C13" i="87"/>
  <c r="F56" i="90"/>
  <c r="F41" i="90"/>
  <c r="F38" i="90"/>
  <c r="F37" i="90"/>
  <c r="F12" i="90"/>
  <c r="F29" i="90" s="1"/>
  <c r="D8" i="87" s="1"/>
  <c r="E8" i="87" s="1"/>
  <c r="G8" i="87" s="1"/>
  <c r="F13" i="90"/>
  <c r="L66" i="104" l="1"/>
  <c r="N66" i="104" s="1"/>
  <c r="F66" i="104"/>
  <c r="D68" i="104"/>
  <c r="L17" i="104"/>
  <c r="N17" i="104" s="1"/>
  <c r="D24" i="104"/>
  <c r="F24" i="104" s="1"/>
  <c r="Y8" i="87"/>
  <c r="AA8" i="87" s="1"/>
  <c r="AD8" i="87"/>
  <c r="AF8" i="87" s="1"/>
  <c r="E26" i="38"/>
  <c r="D26" i="38"/>
  <c r="L68" i="104" l="1"/>
  <c r="N68" i="104" s="1"/>
  <c r="F68" i="104"/>
  <c r="L24" i="104"/>
  <c r="N24" i="104" s="1"/>
  <c r="K13" i="18"/>
  <c r="F13" i="18"/>
  <c r="E13" i="18"/>
  <c r="H25" i="31" l="1"/>
  <c r="I25" i="31"/>
  <c r="I20" i="31"/>
  <c r="C20" i="97" s="1"/>
  <c r="I23" i="31"/>
  <c r="I14" i="31"/>
  <c r="C14" i="97" s="1"/>
  <c r="O14" i="97" s="1"/>
  <c r="D42" i="31"/>
  <c r="C37" i="104" s="1"/>
  <c r="K37" i="104" s="1"/>
  <c r="D43" i="31"/>
  <c r="C38" i="104" s="1"/>
  <c r="K38" i="104" s="1"/>
  <c r="D32" i="31"/>
  <c r="C27" i="104" s="1"/>
  <c r="K27" i="104" s="1"/>
  <c r="D33" i="31"/>
  <c r="C28" i="104" s="1"/>
  <c r="K28" i="104" s="1"/>
  <c r="D30" i="31"/>
  <c r="D25" i="31"/>
  <c r="D20" i="31"/>
  <c r="C18" i="104" s="1"/>
  <c r="K18" i="104" s="1"/>
  <c r="D23" i="31"/>
  <c r="C21" i="104" s="1"/>
  <c r="K21" i="104" s="1"/>
  <c r="C11" i="91"/>
  <c r="C15" i="91"/>
  <c r="D15" i="91"/>
  <c r="C24" i="97" l="1"/>
  <c r="O24" i="97" s="1"/>
  <c r="C23" i="97"/>
  <c r="O23" i="97" s="1"/>
  <c r="P20" i="97"/>
  <c r="R20" i="97" s="1"/>
  <c r="O20" i="97"/>
  <c r="E15" i="6"/>
  <c r="D15" i="31" s="1"/>
  <c r="C13" i="104" s="1"/>
  <c r="K13" i="104" s="1"/>
  <c r="P24" i="97" l="1"/>
  <c r="X15" i="87"/>
  <c r="X20" i="31"/>
  <c r="X23" i="31"/>
  <c r="X25" i="31"/>
  <c r="X27" i="31"/>
  <c r="X28" i="31"/>
  <c r="X30" i="31"/>
  <c r="X32" i="31"/>
  <c r="X33" i="31"/>
  <c r="X38" i="31"/>
  <c r="X39" i="31"/>
  <c r="X42" i="31"/>
  <c r="X43" i="31"/>
  <c r="B2" i="6" l="1"/>
  <c r="A3" i="68"/>
  <c r="A3" i="45" s="1"/>
  <c r="A2" i="31"/>
  <c r="A2" i="4"/>
  <c r="H17" i="93" l="1"/>
  <c r="AB25" i="31" l="1"/>
  <c r="AC25" i="31" l="1"/>
  <c r="W24" i="68" l="1"/>
  <c r="AB24" i="68"/>
  <c r="E42" i="39"/>
  <c r="F42" i="39" s="1"/>
  <c r="E24" i="68" s="1"/>
  <c r="Y24" i="68" l="1"/>
  <c r="AD24" i="68"/>
  <c r="D24" i="68"/>
  <c r="C64" i="104" s="1"/>
  <c r="K64" i="104" s="1"/>
  <c r="AC24" i="68" l="1"/>
  <c r="X24" i="68"/>
  <c r="D69" i="40" l="1"/>
  <c r="AC14" i="87" l="1"/>
  <c r="E15" i="38" l="1"/>
  <c r="F15" i="38" s="1"/>
  <c r="AC36" i="45" l="1"/>
  <c r="C17" i="40" l="1"/>
  <c r="W32" i="68" l="1"/>
  <c r="AB32" i="68"/>
  <c r="D32" i="68"/>
  <c r="X32" i="68" l="1"/>
  <c r="K25" i="91" s="1"/>
  <c r="C71" i="104"/>
  <c r="K71" i="104" s="1"/>
  <c r="AC32" i="68"/>
  <c r="D55" i="40"/>
  <c r="C55" i="40"/>
  <c r="C27" i="82" l="1"/>
  <c r="O27" i="82" s="1"/>
  <c r="L25" i="91"/>
  <c r="D17" i="40"/>
  <c r="D15" i="68" l="1"/>
  <c r="D11" i="39"/>
  <c r="A1" i="4" l="1"/>
  <c r="M39" i="45" l="1"/>
  <c r="W39" i="45"/>
  <c r="C39" i="45"/>
  <c r="H44" i="31" l="1"/>
  <c r="I44" i="31"/>
  <c r="M44" i="31"/>
  <c r="N44" i="31"/>
  <c r="R44" i="31"/>
  <c r="N17" i="31"/>
  <c r="C16" i="98" s="1"/>
  <c r="K16" i="98" s="1"/>
  <c r="D25" i="41" l="1"/>
  <c r="E40" i="39"/>
  <c r="E34" i="39"/>
  <c r="E33" i="39"/>
  <c r="D17" i="68" s="1"/>
  <c r="C56" i="104" s="1"/>
  <c r="K56" i="104" s="1"/>
  <c r="J18" i="38"/>
  <c r="K18" i="38" s="1"/>
  <c r="J19" i="38"/>
  <c r="K19" i="38" s="1"/>
  <c r="J20" i="38"/>
  <c r="K20" i="38" s="1"/>
  <c r="J17" i="38"/>
  <c r="K17" i="38" s="1"/>
  <c r="E10" i="38"/>
  <c r="F10" i="38" s="1"/>
  <c r="E9" i="38"/>
  <c r="F9" i="38" s="1"/>
  <c r="E8" i="38"/>
  <c r="F8" i="38" s="1"/>
  <c r="E36" i="23"/>
  <c r="F36" i="23" s="1"/>
  <c r="E35" i="23"/>
  <c r="F35" i="23" s="1"/>
  <c r="E31" i="23"/>
  <c r="E20" i="23"/>
  <c r="F20" i="23" s="1"/>
  <c r="E18" i="23"/>
  <c r="F18" i="23" s="1"/>
  <c r="E17" i="23"/>
  <c r="F17" i="23" s="1"/>
  <c r="F19" i="23" s="1"/>
  <c r="F21" i="23" s="1"/>
  <c r="D33" i="25"/>
  <c r="D10" i="25"/>
  <c r="E10" i="25" s="1"/>
  <c r="D11" i="25"/>
  <c r="E11" i="25" s="1"/>
  <c r="D12" i="25"/>
  <c r="E12" i="25" s="1"/>
  <c r="D13" i="25"/>
  <c r="E13" i="25" s="1"/>
  <c r="D14" i="25"/>
  <c r="E14" i="25" s="1"/>
  <c r="D15" i="25"/>
  <c r="E15" i="25" s="1"/>
  <c r="D16" i="25"/>
  <c r="E16" i="25" s="1"/>
  <c r="D18" i="25"/>
  <c r="E18" i="25" s="1"/>
  <c r="J50" i="6"/>
  <c r="I24" i="31" s="1"/>
  <c r="I22" i="31"/>
  <c r="C22" i="97" s="1"/>
  <c r="J41" i="6"/>
  <c r="I19" i="31"/>
  <c r="I18" i="31"/>
  <c r="C18" i="97" s="1"/>
  <c r="J20" i="6"/>
  <c r="I16" i="31" s="1"/>
  <c r="C16" i="97" s="1"/>
  <c r="O16" i="97" s="1"/>
  <c r="J15" i="6"/>
  <c r="I15" i="31" s="1"/>
  <c r="E50" i="6"/>
  <c r="D24" i="31" s="1"/>
  <c r="C22" i="104" s="1"/>
  <c r="K22" i="104" s="1"/>
  <c r="E46" i="6"/>
  <c r="F46" i="6" s="1"/>
  <c r="F52" i="6" s="1"/>
  <c r="E17" i="6"/>
  <c r="F17" i="6" s="1"/>
  <c r="E16" i="6"/>
  <c r="F16" i="6" s="1"/>
  <c r="F20" i="6" s="1"/>
  <c r="E10" i="6"/>
  <c r="AC12" i="87"/>
  <c r="AC15" i="87"/>
  <c r="AC16" i="87"/>
  <c r="X12" i="87"/>
  <c r="X16" i="87"/>
  <c r="X21" i="87"/>
  <c r="S23" i="87"/>
  <c r="S18" i="87"/>
  <c r="S13" i="87"/>
  <c r="S19" i="87" s="1"/>
  <c r="N23" i="87"/>
  <c r="N18" i="87"/>
  <c r="N13" i="87"/>
  <c r="I23" i="87"/>
  <c r="I18" i="87"/>
  <c r="I9" i="31" s="1"/>
  <c r="C11" i="97" s="1"/>
  <c r="O11" i="97" s="1"/>
  <c r="I13" i="87"/>
  <c r="I8" i="31" s="1"/>
  <c r="C10" i="97" s="1"/>
  <c r="O10" i="97" s="1"/>
  <c r="C18" i="87"/>
  <c r="D18" i="87"/>
  <c r="D9" i="31" s="1"/>
  <c r="C9" i="104" s="1"/>
  <c r="K9" i="104" s="1"/>
  <c r="AC40" i="45"/>
  <c r="S12" i="68" s="1"/>
  <c r="X12" i="68" s="1"/>
  <c r="K9" i="91" s="1"/>
  <c r="S31" i="31"/>
  <c r="AC26" i="45"/>
  <c r="X49" i="45"/>
  <c r="Y49" i="45" s="1"/>
  <c r="X50" i="45"/>
  <c r="Y50" i="45" s="1"/>
  <c r="AC48" i="45"/>
  <c r="S21" i="68" s="1"/>
  <c r="X38" i="45"/>
  <c r="AC41" i="45"/>
  <c r="S13" i="68" s="1"/>
  <c r="X42" i="45"/>
  <c r="Y42" i="45" s="1"/>
  <c r="X43" i="45"/>
  <c r="Y43" i="45" s="1"/>
  <c r="X44" i="45"/>
  <c r="Y44" i="45" s="1"/>
  <c r="X45" i="45"/>
  <c r="Y45" i="45" s="1"/>
  <c r="X46" i="45"/>
  <c r="X31" i="45"/>
  <c r="Y31" i="45" s="1"/>
  <c r="Y32" i="45" s="1"/>
  <c r="AA32" i="45" s="1"/>
  <c r="X30" i="45"/>
  <c r="AC30" i="45" s="1"/>
  <c r="X11" i="45"/>
  <c r="Y11" i="45" s="1"/>
  <c r="X12" i="45"/>
  <c r="Y12" i="45" s="1"/>
  <c r="X13" i="45"/>
  <c r="Y13" i="45" s="1"/>
  <c r="X15" i="45"/>
  <c r="Y15" i="45" s="1"/>
  <c r="X16" i="45"/>
  <c r="Y16" i="45" s="1"/>
  <c r="X17" i="45"/>
  <c r="Y17" i="45" s="1"/>
  <c r="X18" i="45"/>
  <c r="Y18" i="45" s="1"/>
  <c r="X19" i="45"/>
  <c r="X22" i="45"/>
  <c r="Y22" i="45" s="1"/>
  <c r="X10" i="45"/>
  <c r="Y10" i="45" s="1"/>
  <c r="S39" i="45"/>
  <c r="N49" i="45"/>
  <c r="O49" i="45" s="1"/>
  <c r="N50" i="45"/>
  <c r="O50" i="45" s="1"/>
  <c r="R50" i="45" s="1"/>
  <c r="M51" i="45"/>
  <c r="M29" i="45" s="1"/>
  <c r="N39" i="45"/>
  <c r="N47" i="45" s="1"/>
  <c r="N31" i="45"/>
  <c r="N11" i="45"/>
  <c r="O11" i="45" s="1"/>
  <c r="R11" i="45" s="1"/>
  <c r="N12" i="45"/>
  <c r="N15" i="45"/>
  <c r="N21" i="45"/>
  <c r="O21" i="45" s="1"/>
  <c r="R21" i="45" s="1"/>
  <c r="S21" i="45" s="1"/>
  <c r="T21" i="45" s="1"/>
  <c r="N22" i="45"/>
  <c r="O22" i="45" s="1"/>
  <c r="R22" i="45" s="1"/>
  <c r="S22" i="45" s="1"/>
  <c r="T22" i="45" s="1"/>
  <c r="N10" i="45"/>
  <c r="O10" i="45" s="1"/>
  <c r="I39" i="45"/>
  <c r="D49" i="45"/>
  <c r="D50" i="45"/>
  <c r="E50" i="45" s="1"/>
  <c r="D42" i="45"/>
  <c r="E42" i="45" s="1"/>
  <c r="D43" i="45"/>
  <c r="E43" i="45" s="1"/>
  <c r="D44" i="45"/>
  <c r="E44" i="45" s="1"/>
  <c r="D45" i="45"/>
  <c r="E45" i="45" s="1"/>
  <c r="AC37" i="45"/>
  <c r="D38" i="45"/>
  <c r="C32" i="45"/>
  <c r="D31" i="45"/>
  <c r="D11" i="45"/>
  <c r="E11" i="45" s="1"/>
  <c r="H11" i="45" s="1"/>
  <c r="I11" i="45" s="1"/>
  <c r="J11" i="45" s="1"/>
  <c r="K11" i="45" s="1"/>
  <c r="D12" i="45"/>
  <c r="E12" i="45" s="1"/>
  <c r="H12" i="45" s="1"/>
  <c r="I12" i="45" s="1"/>
  <c r="J12" i="45" s="1"/>
  <c r="D13" i="45"/>
  <c r="E13" i="45" s="1"/>
  <c r="D15" i="45"/>
  <c r="E15" i="45" s="1"/>
  <c r="D16" i="45"/>
  <c r="E16" i="45" s="1"/>
  <c r="D17" i="45"/>
  <c r="D18" i="45"/>
  <c r="D21" i="45"/>
  <c r="E21" i="45" s="1"/>
  <c r="D22" i="45"/>
  <c r="E22" i="45" s="1"/>
  <c r="H22" i="45" s="1"/>
  <c r="I22" i="45" s="1"/>
  <c r="D10" i="45"/>
  <c r="S9" i="68"/>
  <c r="S34" i="68"/>
  <c r="N34" i="68"/>
  <c r="N26" i="68"/>
  <c r="N11" i="68"/>
  <c r="C45" i="98" s="1"/>
  <c r="K45" i="98" s="1"/>
  <c r="I34" i="68"/>
  <c r="I19" i="68"/>
  <c r="D23" i="68"/>
  <c r="X15" i="68"/>
  <c r="K12" i="91" s="1"/>
  <c r="H13" i="45" l="1"/>
  <c r="I13" i="45" s="1"/>
  <c r="J13" i="45" s="1"/>
  <c r="AD13" i="45" s="1"/>
  <c r="AE11" i="45"/>
  <c r="H21" i="45"/>
  <c r="I21" i="45" s="1"/>
  <c r="J21" i="45" s="1"/>
  <c r="AD21" i="45" s="1"/>
  <c r="AF21" i="45" s="1"/>
  <c r="H16" i="45"/>
  <c r="I16" i="45" s="1"/>
  <c r="J16" i="45" s="1"/>
  <c r="AD16" i="45" s="1"/>
  <c r="AF16" i="45" s="1"/>
  <c r="E17" i="45"/>
  <c r="H17" i="45" s="1"/>
  <c r="I17" i="45" s="1"/>
  <c r="F12" i="38"/>
  <c r="F27" i="38" s="1"/>
  <c r="E14" i="68" s="1"/>
  <c r="J22" i="45"/>
  <c r="T24" i="45"/>
  <c r="V24" i="45" s="1"/>
  <c r="H44" i="45"/>
  <c r="I44" i="45" s="1"/>
  <c r="J44" i="45" s="1"/>
  <c r="AD44" i="45" s="1"/>
  <c r="AF44" i="45" s="1"/>
  <c r="D39" i="45"/>
  <c r="E38" i="45"/>
  <c r="H43" i="45"/>
  <c r="I43" i="45" s="1"/>
  <c r="J43" i="45" s="1"/>
  <c r="AD43" i="45" s="1"/>
  <c r="AF43" i="45" s="1"/>
  <c r="N32" i="45"/>
  <c r="O31" i="45"/>
  <c r="R49" i="45"/>
  <c r="S49" i="45" s="1"/>
  <c r="T49" i="45" s="1"/>
  <c r="O51" i="45"/>
  <c r="Q51" i="45" s="1"/>
  <c r="Y51" i="45"/>
  <c r="X23" i="87"/>
  <c r="E16" i="31"/>
  <c r="F21" i="6"/>
  <c r="E18" i="45"/>
  <c r="H42" i="45"/>
  <c r="I42" i="45" s="1"/>
  <c r="J42" i="45" s="1"/>
  <c r="AD42" i="45" s="1"/>
  <c r="AF42" i="45" s="1"/>
  <c r="N20" i="45"/>
  <c r="O15" i="45"/>
  <c r="S50" i="45"/>
  <c r="T50" i="45" s="1"/>
  <c r="AC19" i="45"/>
  <c r="Y19" i="45"/>
  <c r="X39" i="45"/>
  <c r="X47" i="45" s="1"/>
  <c r="Y38" i="45"/>
  <c r="E43" i="39"/>
  <c r="F40" i="39"/>
  <c r="D51" i="45"/>
  <c r="D29" i="45" s="1"/>
  <c r="E49" i="45"/>
  <c r="H10" i="45"/>
  <c r="H15" i="45"/>
  <c r="D32" i="45"/>
  <c r="E31" i="45"/>
  <c r="H45" i="45"/>
  <c r="I45" i="45" s="1"/>
  <c r="J45" i="45" s="1"/>
  <c r="AD45" i="45" s="1"/>
  <c r="AF45" i="45" s="1"/>
  <c r="H50" i="45"/>
  <c r="R10" i="45"/>
  <c r="N14" i="45"/>
  <c r="O12" i="45"/>
  <c r="R12" i="45" s="1"/>
  <c r="R14" i="45" s="1"/>
  <c r="E19" i="25"/>
  <c r="O18" i="97"/>
  <c r="P22" i="97"/>
  <c r="R22" i="97" s="1"/>
  <c r="O22" i="97"/>
  <c r="O12" i="97"/>
  <c r="K26" i="38"/>
  <c r="K27" i="38" s="1"/>
  <c r="S47" i="45"/>
  <c r="AC13" i="45"/>
  <c r="AC12" i="45"/>
  <c r="AD12" i="45" s="1"/>
  <c r="S20" i="45"/>
  <c r="D20" i="45"/>
  <c r="C12" i="97"/>
  <c r="D14" i="31"/>
  <c r="C12" i="104" s="1"/>
  <c r="K12" i="104" s="1"/>
  <c r="H25" i="18"/>
  <c r="X23" i="68"/>
  <c r="C63" i="104"/>
  <c r="K63" i="104" s="1"/>
  <c r="N51" i="45"/>
  <c r="N29" i="45" s="1"/>
  <c r="X15" i="31"/>
  <c r="E13" i="91" s="1"/>
  <c r="C15" i="97"/>
  <c r="O15" i="97" s="1"/>
  <c r="O17" i="97" s="1"/>
  <c r="E35" i="39"/>
  <c r="C58" i="104"/>
  <c r="K58" i="104" s="1"/>
  <c r="I21" i="31"/>
  <c r="C21" i="97" s="1"/>
  <c r="C26" i="97" s="1"/>
  <c r="J52" i="6"/>
  <c r="AC22" i="45"/>
  <c r="C9" i="106"/>
  <c r="N9" i="4"/>
  <c r="AC11" i="45"/>
  <c r="AD11" i="45" s="1"/>
  <c r="AC42" i="45"/>
  <c r="X14" i="31"/>
  <c r="E12" i="91" s="1"/>
  <c r="D19" i="25"/>
  <c r="J26" i="38"/>
  <c r="J21" i="6"/>
  <c r="D38" i="88"/>
  <c r="D22" i="68" s="1"/>
  <c r="C62" i="104" s="1"/>
  <c r="K62" i="104" s="1"/>
  <c r="E12" i="38"/>
  <c r="E27" i="38" s="1"/>
  <c r="J12" i="38"/>
  <c r="I42" i="93"/>
  <c r="I55" i="93" s="1"/>
  <c r="J9" i="92" s="1"/>
  <c r="J44" i="92" s="1"/>
  <c r="X31" i="31"/>
  <c r="E17" i="91" s="1"/>
  <c r="D21" i="31"/>
  <c r="E20" i="6"/>
  <c r="H29" i="18" s="1"/>
  <c r="N19" i="87"/>
  <c r="N24" i="87" s="1"/>
  <c r="AC18" i="87"/>
  <c r="S24" i="87"/>
  <c r="X17" i="87"/>
  <c r="AC17" i="87"/>
  <c r="X32" i="45"/>
  <c r="AC38" i="45"/>
  <c r="X51" i="45"/>
  <c r="X29" i="45" s="1"/>
  <c r="X18" i="87"/>
  <c r="I19" i="87"/>
  <c r="I24" i="87" s="1"/>
  <c r="X17" i="68"/>
  <c r="K14" i="91" s="1"/>
  <c r="N20" i="68"/>
  <c r="N27" i="68" s="1"/>
  <c r="N35" i="68" s="1"/>
  <c r="I21" i="68"/>
  <c r="C58" i="97" s="1"/>
  <c r="I34" i="88"/>
  <c r="I38" i="88" s="1"/>
  <c r="I22" i="68" s="1"/>
  <c r="C59" i="97" s="1"/>
  <c r="AC12" i="68"/>
  <c r="AC15" i="68"/>
  <c r="AC23" i="68"/>
  <c r="AC17" i="68"/>
  <c r="L14" i="91" s="1"/>
  <c r="AC28" i="31"/>
  <c r="AC38" i="31"/>
  <c r="N34" i="31"/>
  <c r="N31" i="31"/>
  <c r="C26" i="98" s="1"/>
  <c r="N29" i="31"/>
  <c r="C25" i="98" s="1"/>
  <c r="K25" i="98" s="1"/>
  <c r="I34" i="31"/>
  <c r="I31" i="31"/>
  <c r="C28" i="97" s="1"/>
  <c r="O28" i="97" s="1"/>
  <c r="I29" i="31"/>
  <c r="C27" i="97" s="1"/>
  <c r="O27" i="97" s="1"/>
  <c r="AC39" i="31"/>
  <c r="AC30" i="31"/>
  <c r="C13" i="97"/>
  <c r="O13" i="97" s="1"/>
  <c r="C11" i="104"/>
  <c r="K11" i="104" s="1"/>
  <c r="J7" i="6"/>
  <c r="E7" i="6"/>
  <c r="D8" i="25" s="1"/>
  <c r="D22" i="25" s="1"/>
  <c r="E8" i="23" s="1"/>
  <c r="E26" i="23" s="1"/>
  <c r="E8" i="92" s="1"/>
  <c r="F7" i="93" s="1"/>
  <c r="E7" i="38" s="1"/>
  <c r="E8" i="39" s="1"/>
  <c r="D9" i="41" s="1"/>
  <c r="D8" i="40" s="1"/>
  <c r="D9" i="88" s="1"/>
  <c r="AC7" i="87"/>
  <c r="X7" i="87"/>
  <c r="S7" i="87"/>
  <c r="N7" i="87"/>
  <c r="I7" i="87"/>
  <c r="D7" i="87"/>
  <c r="AC8" i="68"/>
  <c r="X8" i="68"/>
  <c r="S8" i="68"/>
  <c r="N8" i="68"/>
  <c r="I8" i="68"/>
  <c r="J8" i="92" s="1"/>
  <c r="I7" i="93" s="1"/>
  <c r="J7" i="38" s="1"/>
  <c r="I8" i="40" s="1"/>
  <c r="I9" i="88" s="1"/>
  <c r="D8" i="68"/>
  <c r="AF13" i="45" l="1"/>
  <c r="AC45" i="45"/>
  <c r="Q20" i="45"/>
  <c r="O20" i="45"/>
  <c r="O24" i="45" s="1"/>
  <c r="D14" i="104"/>
  <c r="F14" i="104" s="1"/>
  <c r="G16" i="31"/>
  <c r="Y29" i="45"/>
  <c r="AA51" i="45"/>
  <c r="AC16" i="45"/>
  <c r="AC21" i="45"/>
  <c r="S22" i="31" s="1"/>
  <c r="Q24" i="45"/>
  <c r="D18" i="101"/>
  <c r="N24" i="45"/>
  <c r="N27" i="45" s="1"/>
  <c r="C29" i="98"/>
  <c r="K29" i="98" s="1"/>
  <c r="K26" i="98"/>
  <c r="L14" i="104"/>
  <c r="N14" i="104" s="1"/>
  <c r="D15" i="104"/>
  <c r="Y39" i="45"/>
  <c r="AA39" i="45" s="1"/>
  <c r="AC39" i="45"/>
  <c r="N52" i="45"/>
  <c r="S51" i="45"/>
  <c r="S29" i="45" s="1"/>
  <c r="AC44" i="45"/>
  <c r="AC43" i="45"/>
  <c r="J17" i="45"/>
  <c r="AD17" i="45" s="1"/>
  <c r="AF17" i="45" s="1"/>
  <c r="AC17" i="45"/>
  <c r="H18" i="45"/>
  <c r="I18" i="45" s="1"/>
  <c r="J18" i="45" s="1"/>
  <c r="AD18" i="45" s="1"/>
  <c r="AF18" i="45" s="1"/>
  <c r="AD19" i="45"/>
  <c r="AF19" i="45" s="1"/>
  <c r="T51" i="45"/>
  <c r="X12" i="31"/>
  <c r="X13" i="31" s="1"/>
  <c r="J10" i="45"/>
  <c r="L10" i="45" s="1"/>
  <c r="T22" i="31"/>
  <c r="V22" i="31" s="1"/>
  <c r="S24" i="31"/>
  <c r="X24" i="31" s="1"/>
  <c r="AD22" i="45"/>
  <c r="T24" i="31" s="1"/>
  <c r="E20" i="45"/>
  <c r="G20" i="45" s="1"/>
  <c r="D25" i="68"/>
  <c r="F43" i="39"/>
  <c r="E25" i="68" s="1"/>
  <c r="E26" i="68" s="1"/>
  <c r="O32" i="45"/>
  <c r="Q32" i="45" s="1"/>
  <c r="R31" i="45"/>
  <c r="AD38" i="45"/>
  <c r="AF38" i="45" s="1"/>
  <c r="E39" i="45"/>
  <c r="H38" i="45"/>
  <c r="H39" i="45" s="1"/>
  <c r="AB39" i="45" s="1"/>
  <c r="T28" i="45"/>
  <c r="T27" i="45"/>
  <c r="V27" i="45" s="1"/>
  <c r="I15" i="45"/>
  <c r="H49" i="45"/>
  <c r="I49" i="45" s="1"/>
  <c r="E51" i="45"/>
  <c r="I50" i="45"/>
  <c r="E32" i="45"/>
  <c r="G32" i="45" s="1"/>
  <c r="H31" i="45"/>
  <c r="R15" i="45"/>
  <c r="R20" i="45" s="1"/>
  <c r="R24" i="45" s="1"/>
  <c r="Y16" i="31"/>
  <c r="AD16" i="31"/>
  <c r="E17" i="31"/>
  <c r="G17" i="31" s="1"/>
  <c r="O52" i="45"/>
  <c r="O29" i="45"/>
  <c r="R51" i="45"/>
  <c r="D59" i="97"/>
  <c r="O59" i="97"/>
  <c r="P21" i="97"/>
  <c r="O21" i="97"/>
  <c r="O26" i="97" s="1"/>
  <c r="O32" i="97" s="1"/>
  <c r="O33" i="97"/>
  <c r="O58" i="97"/>
  <c r="S10" i="68"/>
  <c r="S11" i="68" s="1"/>
  <c r="J27" i="38"/>
  <c r="J14" i="68" s="1"/>
  <c r="D50" i="97" s="1"/>
  <c r="N37" i="31"/>
  <c r="C12" i="98"/>
  <c r="K12" i="98" s="1"/>
  <c r="H9" i="4"/>
  <c r="F19" i="91"/>
  <c r="L12" i="91"/>
  <c r="C32" i="97"/>
  <c r="X21" i="31"/>
  <c r="C19" i="104"/>
  <c r="K19" i="104" s="1"/>
  <c r="H31" i="18"/>
  <c r="J31" i="18" s="1"/>
  <c r="S9" i="4"/>
  <c r="L9" i="91"/>
  <c r="E21" i="6"/>
  <c r="D16" i="31"/>
  <c r="D14" i="68"/>
  <c r="C53" i="104" s="1"/>
  <c r="K53" i="104" s="1"/>
  <c r="C32" i="106"/>
  <c r="C13" i="4"/>
  <c r="X52" i="45"/>
  <c r="N28" i="45"/>
  <c r="AC31" i="31"/>
  <c r="AC21" i="31"/>
  <c r="N26" i="31"/>
  <c r="AC23" i="31"/>
  <c r="I26" i="68"/>
  <c r="I37" i="31" s="1"/>
  <c r="AC20" i="31"/>
  <c r="AC14" i="31"/>
  <c r="X34" i="31"/>
  <c r="E21" i="91" s="1"/>
  <c r="AC32" i="31"/>
  <c r="X40" i="31"/>
  <c r="D34" i="31"/>
  <c r="AC33" i="31"/>
  <c r="D31" i="31"/>
  <c r="C26" i="104" s="1"/>
  <c r="K26" i="104" s="1"/>
  <c r="I26" i="31"/>
  <c r="I17" i="31"/>
  <c r="AC15" i="31"/>
  <c r="F13" i="91" s="1"/>
  <c r="N10" i="31"/>
  <c r="C11" i="98" s="1"/>
  <c r="K11" i="98" s="1"/>
  <c r="I10" i="31"/>
  <c r="N33" i="45" l="1"/>
  <c r="Q52" i="45"/>
  <c r="Y17" i="31"/>
  <c r="AA16" i="31"/>
  <c r="AD17" i="31"/>
  <c r="AF16" i="31"/>
  <c r="F18" i="101"/>
  <c r="D24" i="101"/>
  <c r="F24" i="101" s="1"/>
  <c r="L15" i="104"/>
  <c r="N15" i="104" s="1"/>
  <c r="F15" i="104"/>
  <c r="D44" i="108"/>
  <c r="F44" i="108" s="1"/>
  <c r="G39" i="45"/>
  <c r="T29" i="45"/>
  <c r="V51" i="45"/>
  <c r="E29" i="45"/>
  <c r="G51" i="45"/>
  <c r="E37" i="31"/>
  <c r="G26" i="68"/>
  <c r="AD10" i="45"/>
  <c r="AF10" i="45" s="1"/>
  <c r="D10" i="109"/>
  <c r="F10" i="109" s="1"/>
  <c r="P18" i="101"/>
  <c r="R18" i="101" s="1"/>
  <c r="L44" i="108"/>
  <c r="Y47" i="45"/>
  <c r="D44" i="103"/>
  <c r="F44" i="103" s="1"/>
  <c r="P59" i="97"/>
  <c r="E59" i="97"/>
  <c r="S52" i="45"/>
  <c r="H20" i="45"/>
  <c r="AC18" i="45"/>
  <c r="T52" i="45"/>
  <c r="V52" i="45" s="1"/>
  <c r="AC24" i="31"/>
  <c r="H51" i="45"/>
  <c r="H29" i="45" s="1"/>
  <c r="P26" i="97"/>
  <c r="I14" i="68"/>
  <c r="C50" i="97" s="1"/>
  <c r="O50" i="97" s="1"/>
  <c r="O28" i="45"/>
  <c r="O27" i="45"/>
  <c r="R28" i="45"/>
  <c r="R27" i="45"/>
  <c r="J50" i="45"/>
  <c r="AD50" i="45" s="1"/>
  <c r="T25" i="68" s="1"/>
  <c r="Y25" i="68" s="1"/>
  <c r="O15" i="4" s="1"/>
  <c r="AC50" i="45"/>
  <c r="S25" i="68" s="1"/>
  <c r="Y24" i="31"/>
  <c r="AA24" i="31" s="1"/>
  <c r="AD24" i="31"/>
  <c r="AF24" i="31" s="1"/>
  <c r="R29" i="45"/>
  <c r="R52" i="45"/>
  <c r="J15" i="45"/>
  <c r="J20" i="45" s="1"/>
  <c r="I20" i="45"/>
  <c r="AC15" i="45"/>
  <c r="AD15" i="45" s="1"/>
  <c r="R32" i="45"/>
  <c r="S31" i="45"/>
  <c r="H32" i="45"/>
  <c r="I31" i="45"/>
  <c r="J49" i="45"/>
  <c r="AC49" i="45"/>
  <c r="S22" i="68" s="1"/>
  <c r="I51" i="45"/>
  <c r="AD22" i="31"/>
  <c r="AF22" i="31" s="1"/>
  <c r="Y22" i="31"/>
  <c r="AA22" i="31" s="1"/>
  <c r="AC10" i="45"/>
  <c r="AD39" i="45"/>
  <c r="AF39" i="45" s="1"/>
  <c r="E47" i="45"/>
  <c r="G47" i="45" s="1"/>
  <c r="O34" i="97"/>
  <c r="O64" i="97"/>
  <c r="O36" i="97" s="1"/>
  <c r="D32" i="97"/>
  <c r="P58" i="97"/>
  <c r="D64" i="97"/>
  <c r="D36" i="97" s="1"/>
  <c r="T10" i="68"/>
  <c r="V10" i="68" s="1"/>
  <c r="AD14" i="68"/>
  <c r="AF14" i="68" s="1"/>
  <c r="Y14" i="68"/>
  <c r="AA14" i="68" s="1"/>
  <c r="J20" i="68"/>
  <c r="L20" i="68" s="1"/>
  <c r="H13" i="4"/>
  <c r="F17" i="91"/>
  <c r="F12" i="91"/>
  <c r="AC16" i="31"/>
  <c r="F14" i="91" s="1"/>
  <c r="C14" i="104"/>
  <c r="K14" i="104" s="1"/>
  <c r="C41" i="106"/>
  <c r="E24" i="91"/>
  <c r="N34" i="45"/>
  <c r="N35" i="45" s="1"/>
  <c r="E38" i="96"/>
  <c r="D17" i="31"/>
  <c r="X16" i="31"/>
  <c r="C14" i="4"/>
  <c r="C36" i="106"/>
  <c r="AC34" i="31"/>
  <c r="E19" i="91"/>
  <c r="AC40" i="31"/>
  <c r="F24" i="91" s="1"/>
  <c r="I35" i="31"/>
  <c r="D14" i="23"/>
  <c r="D13" i="23"/>
  <c r="D60" i="108" l="1"/>
  <c r="F60" i="108" s="1"/>
  <c r="P32" i="97"/>
  <c r="R32" i="97" s="1"/>
  <c r="R26" i="97"/>
  <c r="I10" i="4"/>
  <c r="K10" i="4" s="1"/>
  <c r="AF17" i="31"/>
  <c r="D10" i="4"/>
  <c r="F10" i="4" s="1"/>
  <c r="AA17" i="31"/>
  <c r="P34" i="97"/>
  <c r="R34" i="97" s="1"/>
  <c r="D34" i="97"/>
  <c r="F34" i="97" s="1"/>
  <c r="F32" i="97"/>
  <c r="L60" i="108"/>
  <c r="N44" i="108"/>
  <c r="Y52" i="45"/>
  <c r="AA47" i="45"/>
  <c r="AD20" i="45"/>
  <c r="L20" i="45"/>
  <c r="O33" i="45"/>
  <c r="Q27" i="45"/>
  <c r="P64" i="97"/>
  <c r="P36" i="97" s="1"/>
  <c r="R58" i="97"/>
  <c r="D30" i="101"/>
  <c r="F30" i="101" s="1"/>
  <c r="P24" i="101"/>
  <c r="L44" i="103"/>
  <c r="N44" i="103" s="1"/>
  <c r="D60" i="103"/>
  <c r="F60" i="103" s="1"/>
  <c r="L10" i="109"/>
  <c r="N10" i="109" s="1"/>
  <c r="D11" i="109"/>
  <c r="F11" i="109" s="1"/>
  <c r="AD25" i="68"/>
  <c r="T15" i="4" s="1"/>
  <c r="D62" i="108"/>
  <c r="D32" i="108"/>
  <c r="Q59" i="97"/>
  <c r="Q64" i="97" s="1"/>
  <c r="E64" i="97"/>
  <c r="F64" i="97" s="1"/>
  <c r="AC14" i="68"/>
  <c r="X14" i="68"/>
  <c r="O34" i="45"/>
  <c r="E52" i="45"/>
  <c r="G52" i="45" s="1"/>
  <c r="AD47" i="45"/>
  <c r="AF47" i="45" s="1"/>
  <c r="J51" i="45"/>
  <c r="L51" i="45" s="1"/>
  <c r="AD49" i="45"/>
  <c r="T22" i="68" s="1"/>
  <c r="R33" i="45"/>
  <c r="R34" i="45" s="1"/>
  <c r="R35" i="45" s="1"/>
  <c r="S26" i="68"/>
  <c r="S37" i="31" s="1"/>
  <c r="AC22" i="68"/>
  <c r="X22" i="68"/>
  <c r="J31" i="45"/>
  <c r="J32" i="45" s="1"/>
  <c r="L32" i="45" s="1"/>
  <c r="I32" i="45"/>
  <c r="AC31" i="45"/>
  <c r="AD31" i="45" s="1"/>
  <c r="AD32" i="45" s="1"/>
  <c r="X25" i="68"/>
  <c r="AC25" i="68"/>
  <c r="T31" i="45"/>
  <c r="T32" i="45" s="1"/>
  <c r="S32" i="45"/>
  <c r="S9" i="31"/>
  <c r="T9" i="31"/>
  <c r="I29" i="45"/>
  <c r="AC51" i="45"/>
  <c r="AC29" i="45" s="1"/>
  <c r="P50" i="97"/>
  <c r="AD10" i="68"/>
  <c r="AF10" i="68" s="1"/>
  <c r="Y10" i="68"/>
  <c r="AA10" i="68" s="1"/>
  <c r="T11" i="68"/>
  <c r="V11" i="68" s="1"/>
  <c r="J27" i="68"/>
  <c r="J36" i="31"/>
  <c r="O11" i="4"/>
  <c r="Q11" i="4" s="1"/>
  <c r="T11" i="4"/>
  <c r="V11" i="4" s="1"/>
  <c r="D12" i="82"/>
  <c r="H12" i="82"/>
  <c r="L12" i="82"/>
  <c r="E12" i="82"/>
  <c r="I12" i="82"/>
  <c r="M12" i="82"/>
  <c r="F12" i="82"/>
  <c r="J12" i="82"/>
  <c r="N12" i="82"/>
  <c r="G12" i="82"/>
  <c r="K12" i="82"/>
  <c r="C12" i="82"/>
  <c r="F21" i="91"/>
  <c r="X17" i="31"/>
  <c r="C10" i="4" s="1"/>
  <c r="E14" i="91"/>
  <c r="E15" i="91" s="1"/>
  <c r="F15" i="91"/>
  <c r="C11" i="106"/>
  <c r="K11" i="91"/>
  <c r="E10" i="82"/>
  <c r="AC17" i="31"/>
  <c r="H10" i="4" s="1"/>
  <c r="S11" i="4"/>
  <c r="L11" i="91"/>
  <c r="K10" i="82"/>
  <c r="N11" i="4"/>
  <c r="H14" i="4"/>
  <c r="C34" i="106"/>
  <c r="C9" i="4"/>
  <c r="E15" i="23"/>
  <c r="AC43" i="31"/>
  <c r="R64" i="97" l="1"/>
  <c r="D66" i="108"/>
  <c r="F66" i="108" s="1"/>
  <c r="F62" i="108"/>
  <c r="L62" i="108"/>
  <c r="N60" i="108"/>
  <c r="P30" i="101"/>
  <c r="R30" i="101" s="1"/>
  <c r="R24" i="101"/>
  <c r="O35" i="45"/>
  <c r="Q35" i="45" s="1"/>
  <c r="Q34" i="45"/>
  <c r="T19" i="31"/>
  <c r="AF20" i="45"/>
  <c r="T42" i="31"/>
  <c r="V42" i="31" s="1"/>
  <c r="AF32" i="45"/>
  <c r="T33" i="45"/>
  <c r="V33" i="45" s="1"/>
  <c r="V32" i="45"/>
  <c r="D39" i="101"/>
  <c r="F39" i="101" s="1"/>
  <c r="Q33" i="45"/>
  <c r="AA52" i="45"/>
  <c r="J35" i="68"/>
  <c r="L27" i="68"/>
  <c r="D32" i="101"/>
  <c r="F32" i="101" s="1"/>
  <c r="D33" i="101"/>
  <c r="L11" i="109"/>
  <c r="N11" i="109" s="1"/>
  <c r="D30" i="109"/>
  <c r="F30" i="109" s="1"/>
  <c r="L60" i="103"/>
  <c r="N60" i="103" s="1"/>
  <c r="D32" i="103"/>
  <c r="L32" i="103" s="1"/>
  <c r="D62" i="103"/>
  <c r="F62" i="103" s="1"/>
  <c r="P33" i="101"/>
  <c r="P32" i="101"/>
  <c r="R32" i="101" s="1"/>
  <c r="T16" i="87"/>
  <c r="V9" i="31"/>
  <c r="E36" i="97"/>
  <c r="E65" i="97"/>
  <c r="Q36" i="97"/>
  <c r="Q65" i="97"/>
  <c r="T10" i="31"/>
  <c r="V10" i="31" s="1"/>
  <c r="K19" i="91"/>
  <c r="N14" i="4"/>
  <c r="C15" i="106"/>
  <c r="AD22" i="68"/>
  <c r="AF22" i="68" s="1"/>
  <c r="T26" i="68"/>
  <c r="Y22" i="68"/>
  <c r="AA22" i="68" s="1"/>
  <c r="S10" i="31"/>
  <c r="X9" i="31"/>
  <c r="AC9" i="31"/>
  <c r="F10" i="91" s="1"/>
  <c r="S15" i="4"/>
  <c r="L20" i="91"/>
  <c r="T44" i="31"/>
  <c r="V44" i="31" s="1"/>
  <c r="I24" i="82"/>
  <c r="S14" i="4"/>
  <c r="H24" i="82"/>
  <c r="F24" i="82"/>
  <c r="L19" i="91"/>
  <c r="G24" i="82"/>
  <c r="J29" i="45"/>
  <c r="J52" i="45"/>
  <c r="L52" i="45" s="1"/>
  <c r="AD51" i="45"/>
  <c r="AC32" i="45"/>
  <c r="K20" i="91"/>
  <c r="N15" i="4"/>
  <c r="C16" i="106"/>
  <c r="C30" i="106"/>
  <c r="AD11" i="68"/>
  <c r="Y11" i="68"/>
  <c r="AA11" i="68" s="1"/>
  <c r="O10" i="82"/>
  <c r="Q10" i="82" s="1"/>
  <c r="E19" i="23"/>
  <c r="E21" i="23" s="1"/>
  <c r="AC42" i="31"/>
  <c r="D44" i="31"/>
  <c r="Y42" i="31" l="1"/>
  <c r="AA42" i="31" s="1"/>
  <c r="AD42" i="31"/>
  <c r="AF42" i="31" s="1"/>
  <c r="Y16" i="87"/>
  <c r="AA16" i="87" s="1"/>
  <c r="V16" i="87"/>
  <c r="L66" i="108"/>
  <c r="N62" i="108"/>
  <c r="V19" i="31"/>
  <c r="AF11" i="68"/>
  <c r="D38" i="102"/>
  <c r="AD19" i="31"/>
  <c r="AF19" i="31" s="1"/>
  <c r="T34" i="45"/>
  <c r="P39" i="101"/>
  <c r="R39" i="101" s="1"/>
  <c r="D40" i="101"/>
  <c r="AD29" i="45"/>
  <c r="AF51" i="45"/>
  <c r="Y19" i="31"/>
  <c r="AA19" i="31" s="1"/>
  <c r="T18" i="87"/>
  <c r="Q69" i="97"/>
  <c r="E69" i="97"/>
  <c r="J46" i="31"/>
  <c r="L46" i="31" s="1"/>
  <c r="L35" i="68"/>
  <c r="T37" i="31"/>
  <c r="V26" i="68"/>
  <c r="AD16" i="87"/>
  <c r="AF16" i="87" s="1"/>
  <c r="AD52" i="45"/>
  <c r="AF52" i="45" s="1"/>
  <c r="L30" i="109"/>
  <c r="N30" i="109" s="1"/>
  <c r="D33" i="109"/>
  <c r="L33" i="109" s="1"/>
  <c r="D32" i="109"/>
  <c r="F32" i="109" s="1"/>
  <c r="D66" i="103"/>
  <c r="L62" i="103"/>
  <c r="N62" i="103" s="1"/>
  <c r="O8" i="4"/>
  <c r="Q8" i="4" s="1"/>
  <c r="T8" i="4"/>
  <c r="V8" i="4" s="1"/>
  <c r="E10" i="91"/>
  <c r="AD26" i="68"/>
  <c r="T14" i="4"/>
  <c r="V14" i="4" s="1"/>
  <c r="AD44" i="31"/>
  <c r="AF44" i="31" s="1"/>
  <c r="Y44" i="31"/>
  <c r="AA44" i="31" s="1"/>
  <c r="O14" i="4"/>
  <c r="Q14" i="4" s="1"/>
  <c r="Y26" i="68"/>
  <c r="AA26" i="68" s="1"/>
  <c r="AC44" i="31"/>
  <c r="D47" i="31"/>
  <c r="X44" i="31"/>
  <c r="A4" i="88"/>
  <c r="L38" i="102" l="1"/>
  <c r="N38" i="102" s="1"/>
  <c r="F38" i="102"/>
  <c r="L66" i="103"/>
  <c r="F66" i="103"/>
  <c r="D41" i="97"/>
  <c r="F41" i="97" s="1"/>
  <c r="J47" i="31"/>
  <c r="L47" i="31" s="1"/>
  <c r="T19" i="87"/>
  <c r="V18" i="87"/>
  <c r="N66" i="108"/>
  <c r="P40" i="101"/>
  <c r="R40" i="101" s="1"/>
  <c r="F40" i="101"/>
  <c r="D39" i="102"/>
  <c r="F39" i="102" s="1"/>
  <c r="T35" i="45"/>
  <c r="V35" i="45" s="1"/>
  <c r="V34" i="45"/>
  <c r="D41" i="101"/>
  <c r="P41" i="101" s="1"/>
  <c r="L39" i="102"/>
  <c r="N39" i="102" s="1"/>
  <c r="L32" i="109"/>
  <c r="N32" i="109" s="1"/>
  <c r="AD37" i="31"/>
  <c r="AF26" i="68"/>
  <c r="J48" i="31"/>
  <c r="L48" i="31" s="1"/>
  <c r="Y37" i="31"/>
  <c r="AD47" i="31"/>
  <c r="C43" i="106"/>
  <c r="E26" i="91"/>
  <c r="AC47" i="31"/>
  <c r="H16" i="4" s="1"/>
  <c r="C16" i="82"/>
  <c r="F26" i="91"/>
  <c r="D44" i="106"/>
  <c r="E44" i="106" s="1"/>
  <c r="F44" i="106" s="1"/>
  <c r="D46" i="106"/>
  <c r="E46" i="106" s="1"/>
  <c r="F46" i="106" s="1"/>
  <c r="D47" i="106"/>
  <c r="E47" i="106" s="1"/>
  <c r="F47" i="106" s="1"/>
  <c r="D20" i="106"/>
  <c r="E20" i="106" s="1"/>
  <c r="F20" i="106" s="1"/>
  <c r="D21" i="106"/>
  <c r="E21" i="106" s="1"/>
  <c r="F21" i="106" s="1"/>
  <c r="N66" i="103" l="1"/>
  <c r="D40" i="102"/>
  <c r="T24" i="87"/>
  <c r="V24" i="87" s="1"/>
  <c r="V19" i="87"/>
  <c r="R41" i="101"/>
  <c r="F41" i="101"/>
  <c r="I16" i="4"/>
  <c r="K16" i="4" s="1"/>
  <c r="AF47" i="31"/>
  <c r="C45" i="106"/>
  <c r="C48" i="106" s="1"/>
  <c r="D43" i="106"/>
  <c r="E43" i="106" s="1"/>
  <c r="F43" i="106" s="1"/>
  <c r="D25" i="92"/>
  <c r="E30" i="93"/>
  <c r="D12" i="92"/>
  <c r="D10" i="92"/>
  <c r="L40" i="102" l="1"/>
  <c r="F40" i="102"/>
  <c r="H34" i="31"/>
  <c r="M34" i="31"/>
  <c r="R34" i="31"/>
  <c r="D24" i="92"/>
  <c r="N40" i="102" l="1"/>
  <c r="E36" i="93"/>
  <c r="N4" i="18" l="1"/>
  <c r="G14" i="18" s="1"/>
  <c r="A4" i="55"/>
  <c r="A2" i="96"/>
  <c r="A2" i="107" s="1"/>
  <c r="A1" i="96"/>
  <c r="A1" i="107" s="1"/>
  <c r="A4" i="96"/>
  <c r="A4" i="82"/>
  <c r="A4" i="91"/>
  <c r="A4" i="48"/>
  <c r="A7" i="18"/>
  <c r="A4" i="40"/>
  <c r="A4" i="41"/>
  <c r="A3" i="39"/>
  <c r="A3" i="38"/>
  <c r="A3" i="93"/>
  <c r="A1" i="93"/>
  <c r="A1" i="92"/>
  <c r="A4" i="92"/>
  <c r="A4" i="23"/>
  <c r="A4" i="25"/>
  <c r="A3" i="6"/>
  <c r="A3" i="87"/>
  <c r="A4" i="103"/>
  <c r="A4" i="102"/>
  <c r="A4" i="101"/>
  <c r="A4" i="98"/>
  <c r="A4" i="97"/>
  <c r="A3" i="104"/>
  <c r="A5" i="45"/>
  <c r="A4" i="68"/>
  <c r="A3" i="31"/>
  <c r="A3" i="4"/>
  <c r="C43" i="31" l="1"/>
  <c r="H9" i="68" l="1"/>
  <c r="G73" i="104" l="1"/>
  <c r="G66" i="104"/>
  <c r="G68" i="104" s="1"/>
  <c r="G74" i="104" s="1"/>
  <c r="G65" i="104"/>
  <c r="C65" i="104"/>
  <c r="K65" i="104" s="1"/>
  <c r="C50" i="104"/>
  <c r="K50" i="104" s="1"/>
  <c r="G39" i="104"/>
  <c r="G42" i="104" s="1"/>
  <c r="G31" i="104"/>
  <c r="G34" i="104" s="1"/>
  <c r="C29" i="104"/>
  <c r="K29" i="104" s="1"/>
  <c r="G24" i="104"/>
  <c r="G15" i="104"/>
  <c r="G10" i="104"/>
  <c r="G30" i="104" l="1"/>
  <c r="G32" i="104" s="1"/>
  <c r="G43" i="104" s="1"/>
  <c r="G33" i="104" l="1"/>
  <c r="D16" i="39"/>
  <c r="D17" i="39"/>
  <c r="D23" i="39" l="1"/>
  <c r="C25" i="96"/>
  <c r="C23" i="96"/>
  <c r="C15" i="96"/>
  <c r="O39" i="101"/>
  <c r="E23" i="39" l="1"/>
  <c r="D16" i="68" s="1"/>
  <c r="C55" i="104" s="1"/>
  <c r="K55" i="104" s="1"/>
  <c r="AC16" i="68" l="1"/>
  <c r="L13" i="91" s="1"/>
  <c r="X16" i="68"/>
  <c r="D33" i="6"/>
  <c r="D32" i="6"/>
  <c r="D31" i="6"/>
  <c r="D30" i="6"/>
  <c r="D42" i="92"/>
  <c r="D41" i="92"/>
  <c r="D40" i="92"/>
  <c r="D39" i="92"/>
  <c r="D43" i="92"/>
  <c r="D34" i="6"/>
  <c r="K13" i="91" l="1"/>
  <c r="D71" i="40"/>
  <c r="D21" i="68" s="1"/>
  <c r="H35" i="93"/>
  <c r="D26" i="68" l="1"/>
  <c r="C61" i="104"/>
  <c r="K61" i="104" s="1"/>
  <c r="X21" i="68"/>
  <c r="K18" i="91" s="1"/>
  <c r="AC21" i="68"/>
  <c r="G65" i="103"/>
  <c r="C65" i="103"/>
  <c r="G61" i="103"/>
  <c r="G33" i="103" s="1"/>
  <c r="C61" i="103"/>
  <c r="G60" i="103"/>
  <c r="C60" i="103"/>
  <c r="K44" i="103"/>
  <c r="G39" i="103"/>
  <c r="C39" i="103"/>
  <c r="G30" i="103"/>
  <c r="C30" i="103"/>
  <c r="G23" i="103"/>
  <c r="G29" i="103" s="1"/>
  <c r="C29" i="103"/>
  <c r="K9" i="103"/>
  <c r="G65" i="102"/>
  <c r="C65" i="102"/>
  <c r="G61" i="102"/>
  <c r="C61" i="102"/>
  <c r="G60" i="102"/>
  <c r="C60" i="102"/>
  <c r="K44" i="102"/>
  <c r="G39" i="102"/>
  <c r="C39" i="102"/>
  <c r="G30" i="102"/>
  <c r="C30" i="102"/>
  <c r="G23" i="102"/>
  <c r="G29" i="102" s="1"/>
  <c r="C23" i="102"/>
  <c r="C29" i="102" s="1"/>
  <c r="K9" i="102"/>
  <c r="K66" i="101"/>
  <c r="G66" i="101"/>
  <c r="C66" i="101"/>
  <c r="O66" i="101" s="1"/>
  <c r="K62" i="101"/>
  <c r="G62" i="101"/>
  <c r="C62" i="101"/>
  <c r="K61" i="101"/>
  <c r="G61" i="101"/>
  <c r="C61" i="101"/>
  <c r="O45" i="101"/>
  <c r="K40" i="101"/>
  <c r="G40" i="101"/>
  <c r="C40" i="101"/>
  <c r="O38" i="101"/>
  <c r="O37" i="101"/>
  <c r="O36" i="101"/>
  <c r="O35" i="101"/>
  <c r="K31" i="101"/>
  <c r="G31" i="101"/>
  <c r="G34" i="101" s="1"/>
  <c r="C31" i="101"/>
  <c r="O31" i="101"/>
  <c r="K24" i="101"/>
  <c r="K30" i="101" s="1"/>
  <c r="G24" i="101"/>
  <c r="G30" i="101" s="1"/>
  <c r="C24" i="101"/>
  <c r="O9" i="101"/>
  <c r="G65" i="98"/>
  <c r="C65" i="98"/>
  <c r="C61" i="98"/>
  <c r="K61" i="98" s="1"/>
  <c r="G60" i="98"/>
  <c r="G62" i="98" s="1"/>
  <c r="G66" i="98" s="1"/>
  <c r="C60" i="98"/>
  <c r="K60" i="98" s="1"/>
  <c r="G40" i="98"/>
  <c r="G31" i="98"/>
  <c r="G34" i="98" s="1"/>
  <c r="C31" i="98"/>
  <c r="K31" i="98" s="1"/>
  <c r="G24" i="98"/>
  <c r="G30" i="98" s="1"/>
  <c r="C24" i="98"/>
  <c r="C68" i="97"/>
  <c r="G42" i="97"/>
  <c r="G43" i="97" s="1"/>
  <c r="C33" i="97"/>
  <c r="C17" i="97"/>
  <c r="C30" i="101" l="1"/>
  <c r="O24" i="101"/>
  <c r="O30" i="101" s="1"/>
  <c r="G33" i="101"/>
  <c r="K34" i="101"/>
  <c r="O62" i="101"/>
  <c r="O61" i="101"/>
  <c r="C30" i="98"/>
  <c r="K30" i="98" s="1"/>
  <c r="K24" i="98"/>
  <c r="G35" i="97"/>
  <c r="G33" i="102"/>
  <c r="G62" i="102"/>
  <c r="G66" i="102" s="1"/>
  <c r="J25" i="82"/>
  <c r="G25" i="82"/>
  <c r="K25" i="82"/>
  <c r="H25" i="82"/>
  <c r="L25" i="82"/>
  <c r="I25" i="82"/>
  <c r="F25" i="82"/>
  <c r="G62" i="103"/>
  <c r="G66" i="103" s="1"/>
  <c r="O40" i="101"/>
  <c r="K63" i="101"/>
  <c r="K67" i="101" s="1"/>
  <c r="C34" i="101"/>
  <c r="C63" i="101"/>
  <c r="C34" i="98"/>
  <c r="K34" i="98" s="1"/>
  <c r="S13" i="4"/>
  <c r="L18" i="91"/>
  <c r="G63" i="101"/>
  <c r="G67" i="101" s="1"/>
  <c r="C62" i="102"/>
  <c r="C66" i="102" s="1"/>
  <c r="O34" i="101"/>
  <c r="X26" i="68"/>
  <c r="N13" i="4"/>
  <c r="C14" i="106"/>
  <c r="C17" i="106" s="1"/>
  <c r="C62" i="98"/>
  <c r="K62" i="98" s="1"/>
  <c r="C62" i="103"/>
  <c r="C66" i="103" s="1"/>
  <c r="AC26" i="68"/>
  <c r="C32" i="98"/>
  <c r="K32" i="98" s="1"/>
  <c r="G33" i="98"/>
  <c r="G32" i="98"/>
  <c r="G41" i="98" s="1"/>
  <c r="C33" i="101"/>
  <c r="C32" i="101"/>
  <c r="K33" i="101"/>
  <c r="K32" i="101"/>
  <c r="K41" i="101" s="1"/>
  <c r="C32" i="102"/>
  <c r="K32" i="102" s="1"/>
  <c r="C31" i="102"/>
  <c r="C32" i="103"/>
  <c r="K32" i="103" s="1"/>
  <c r="C31" i="103"/>
  <c r="G31" i="102"/>
  <c r="G40" i="102" s="1"/>
  <c r="G32" i="102"/>
  <c r="G31" i="103"/>
  <c r="G40" i="103" s="1"/>
  <c r="G32" i="103"/>
  <c r="C33" i="102"/>
  <c r="C33" i="103"/>
  <c r="G32" i="101"/>
  <c r="G41" i="101" s="1"/>
  <c r="C33" i="98" l="1"/>
  <c r="K33" i="98" s="1"/>
  <c r="C67" i="101"/>
  <c r="O67" i="101" s="1"/>
  <c r="O63" i="101"/>
  <c r="C34" i="97"/>
  <c r="C66" i="98"/>
  <c r="O32" i="101"/>
  <c r="O33" i="101"/>
  <c r="C40" i="103"/>
  <c r="C41" i="98"/>
  <c r="K41" i="98" s="1"/>
  <c r="C40" i="102"/>
  <c r="C41" i="101"/>
  <c r="K66" i="98" l="1"/>
  <c r="O41" i="101"/>
  <c r="D26" i="6"/>
  <c r="G33" i="96" l="1"/>
  <c r="F33" i="96"/>
  <c r="E33" i="96"/>
  <c r="D33" i="96"/>
  <c r="C33" i="96"/>
  <c r="E32" i="96"/>
  <c r="G31" i="96"/>
  <c r="F31" i="96"/>
  <c r="E31" i="96"/>
  <c r="D31" i="96"/>
  <c r="C31" i="96"/>
  <c r="E30" i="96"/>
  <c r="G29" i="96"/>
  <c r="F29" i="96"/>
  <c r="E29" i="96"/>
  <c r="D29" i="96"/>
  <c r="C29" i="96"/>
  <c r="E28" i="96"/>
  <c r="G27" i="96"/>
  <c r="F27" i="96"/>
  <c r="E27" i="96"/>
  <c r="D27" i="96"/>
  <c r="C27" i="96"/>
  <c r="E26" i="96"/>
  <c r="G25" i="96"/>
  <c r="F25" i="96"/>
  <c r="E25" i="96"/>
  <c r="D25" i="96"/>
  <c r="E24" i="96"/>
  <c r="G23" i="96"/>
  <c r="F23" i="96"/>
  <c r="E23" i="96"/>
  <c r="D23" i="96"/>
  <c r="E22" i="96"/>
  <c r="G21" i="96"/>
  <c r="F21" i="96"/>
  <c r="E21" i="96"/>
  <c r="D21" i="96"/>
  <c r="C21" i="96"/>
  <c r="E20" i="96"/>
  <c r="G19" i="96"/>
  <c r="F19" i="96"/>
  <c r="E19" i="96"/>
  <c r="D19" i="96"/>
  <c r="C19" i="96"/>
  <c r="E18" i="96"/>
  <c r="G17" i="96"/>
  <c r="F17" i="96"/>
  <c r="E17" i="96"/>
  <c r="D17" i="96"/>
  <c r="C17" i="96"/>
  <c r="E16" i="96"/>
  <c r="G15" i="96"/>
  <c r="F15" i="96"/>
  <c r="E15" i="96"/>
  <c r="D15" i="96"/>
  <c r="E14" i="96"/>
  <c r="G13" i="96"/>
  <c r="F13" i="96"/>
  <c r="E13" i="96"/>
  <c r="D13" i="96"/>
  <c r="C13" i="96"/>
  <c r="E12" i="96"/>
  <c r="G11" i="96"/>
  <c r="F11" i="96"/>
  <c r="E11" i="96"/>
  <c r="D11" i="96"/>
  <c r="C11" i="96"/>
  <c r="E10" i="96"/>
  <c r="E9" i="96" l="1"/>
  <c r="G9" i="96"/>
  <c r="F35" i="96"/>
  <c r="F44" i="96" s="1"/>
  <c r="C35" i="96"/>
  <c r="C44" i="96" s="1"/>
  <c r="G35" i="96"/>
  <c r="G44" i="96" s="1"/>
  <c r="E34" i="96"/>
  <c r="E43" i="96" s="1"/>
  <c r="D35" i="96"/>
  <c r="D44" i="96" s="1"/>
  <c r="C9" i="96"/>
  <c r="E35" i="96"/>
  <c r="E44" i="96" s="1"/>
  <c r="E8" i="96"/>
  <c r="D9" i="96"/>
  <c r="F9" i="96"/>
  <c r="D41" i="6" l="1"/>
  <c r="D27" i="6"/>
  <c r="D19" i="31" s="1"/>
  <c r="C17" i="104" s="1"/>
  <c r="K17" i="104" s="1"/>
  <c r="D15" i="6"/>
  <c r="D44" i="6"/>
  <c r="D42" i="6"/>
  <c r="D45" i="6" s="1"/>
  <c r="D22" i="6"/>
  <c r="D18" i="31" l="1"/>
  <c r="C16" i="104" s="1"/>
  <c r="K16" i="104" s="1"/>
  <c r="D25" i="6"/>
  <c r="D35" i="6"/>
  <c r="C19" i="31" s="1"/>
  <c r="E45" i="6"/>
  <c r="D22" i="31" s="1"/>
  <c r="H21" i="93"/>
  <c r="X22" i="31" l="1"/>
  <c r="C20" i="104"/>
  <c r="K20" i="104" s="1"/>
  <c r="D26" i="31"/>
  <c r="E52" i="6"/>
  <c r="AC22" i="31"/>
  <c r="C10" i="68"/>
  <c r="C24" i="104" l="1"/>
  <c r="K24" i="104" s="1"/>
  <c r="C9" i="68"/>
  <c r="E35" i="93"/>
  <c r="X10" i="68" l="1"/>
  <c r="AC10" i="68"/>
  <c r="E8" i="93"/>
  <c r="D11" i="68" l="1"/>
  <c r="AC9" i="68"/>
  <c r="X9" i="68"/>
  <c r="M13" i="31"/>
  <c r="AB13" i="45"/>
  <c r="C14" i="45"/>
  <c r="D14" i="45" s="1"/>
  <c r="E14" i="45" s="1"/>
  <c r="W14" i="45"/>
  <c r="M14" i="45"/>
  <c r="C20" i="45"/>
  <c r="W20" i="45"/>
  <c r="X20" i="45" s="1"/>
  <c r="AB49" i="45"/>
  <c r="R22" i="68" s="1"/>
  <c r="AB50" i="45"/>
  <c r="R25" i="68" s="1"/>
  <c r="AB48" i="45"/>
  <c r="R21" i="68" s="1"/>
  <c r="AB37" i="45"/>
  <c r="AB38" i="45"/>
  <c r="R10" i="68" s="1"/>
  <c r="AB40" i="45"/>
  <c r="AB41" i="45"/>
  <c r="AB42" i="45"/>
  <c r="AB43" i="45"/>
  <c r="AB44" i="45"/>
  <c r="AB45" i="45"/>
  <c r="AB36" i="45"/>
  <c r="AB31" i="45"/>
  <c r="AB30" i="45"/>
  <c r="AB25" i="45"/>
  <c r="R31" i="31" s="1"/>
  <c r="AB26" i="45"/>
  <c r="AB11" i="45"/>
  <c r="AB12" i="45"/>
  <c r="AB15" i="45"/>
  <c r="AB16" i="45"/>
  <c r="AB17" i="45"/>
  <c r="AB18" i="45"/>
  <c r="AB19" i="45"/>
  <c r="AB21" i="45"/>
  <c r="R22" i="31" s="1"/>
  <c r="AB22" i="45"/>
  <c r="R24" i="31" s="1"/>
  <c r="AB10" i="45"/>
  <c r="R9" i="31" s="1"/>
  <c r="W51" i="45"/>
  <c r="W29" i="45" s="1"/>
  <c r="M47" i="45"/>
  <c r="M52" i="45" s="1"/>
  <c r="W47" i="45"/>
  <c r="W32" i="45"/>
  <c r="M32" i="45"/>
  <c r="C51" i="45"/>
  <c r="C29" i="45" s="1"/>
  <c r="C47" i="45"/>
  <c r="E24" i="45" l="1"/>
  <c r="H14" i="45"/>
  <c r="H24" i="45" s="1"/>
  <c r="H27" i="45" s="1"/>
  <c r="C47" i="104"/>
  <c r="K47" i="104" s="1"/>
  <c r="X11" i="68"/>
  <c r="K8" i="91" s="1"/>
  <c r="R10" i="31"/>
  <c r="R17" i="87"/>
  <c r="R18" i="87" s="1"/>
  <c r="R19" i="87" s="1"/>
  <c r="R24" i="87" s="1"/>
  <c r="AC20" i="45"/>
  <c r="S19" i="31" s="1"/>
  <c r="S24" i="45"/>
  <c r="M24" i="45"/>
  <c r="M28" i="45" s="1"/>
  <c r="I14" i="45"/>
  <c r="J14" i="45" s="1"/>
  <c r="J24" i="45" s="1"/>
  <c r="W24" i="45"/>
  <c r="W28" i="45" s="1"/>
  <c r="X14" i="45"/>
  <c r="D24" i="45"/>
  <c r="AC11" i="68"/>
  <c r="AB32" i="45"/>
  <c r="W52" i="45"/>
  <c r="AB51" i="45"/>
  <c r="AB29" i="45" s="1"/>
  <c r="AB20" i="45"/>
  <c r="R19" i="31" s="1"/>
  <c r="C24" i="45"/>
  <c r="C28" i="45" s="1"/>
  <c r="C52" i="45"/>
  <c r="G24" i="45" l="1"/>
  <c r="K14" i="45"/>
  <c r="E27" i="45"/>
  <c r="G27" i="45" s="1"/>
  <c r="H18" i="108"/>
  <c r="J18" i="108" s="1"/>
  <c r="AB14" i="45"/>
  <c r="J28" i="45"/>
  <c r="J27" i="45"/>
  <c r="X24" i="45"/>
  <c r="X28" i="45" s="1"/>
  <c r="Y14" i="45"/>
  <c r="Y24" i="45" s="1"/>
  <c r="AD24" i="45" s="1"/>
  <c r="I24" i="45"/>
  <c r="S8" i="4"/>
  <c r="L8" i="91"/>
  <c r="X19" i="31"/>
  <c r="N8" i="4"/>
  <c r="C8" i="106"/>
  <c r="M27" i="45"/>
  <c r="M33" i="45" s="1"/>
  <c r="M34" i="45" s="1"/>
  <c r="M35" i="45" s="1"/>
  <c r="AC14" i="45"/>
  <c r="R18" i="31"/>
  <c r="R26" i="31" s="1"/>
  <c r="AB24" i="45"/>
  <c r="W27" i="45"/>
  <c r="W33" i="45" s="1"/>
  <c r="W34" i="45" s="1"/>
  <c r="W35" i="45" s="1"/>
  <c r="S27" i="45"/>
  <c r="S33" i="45" s="1"/>
  <c r="S28" i="45"/>
  <c r="D27" i="45"/>
  <c r="I27" i="45"/>
  <c r="C27" i="45"/>
  <c r="D35" i="92"/>
  <c r="D38" i="92"/>
  <c r="AD27" i="45" l="1"/>
  <c r="AA24" i="45"/>
  <c r="L18" i="108"/>
  <c r="N18" i="108" s="1"/>
  <c r="H23" i="108"/>
  <c r="J23" i="108" s="1"/>
  <c r="AE14" i="45"/>
  <c r="K24" i="45"/>
  <c r="AD14" i="45"/>
  <c r="X27" i="45"/>
  <c r="X33" i="45" s="1"/>
  <c r="X34" i="45" s="1"/>
  <c r="X35" i="45" s="1"/>
  <c r="AC24" i="45"/>
  <c r="AD28" i="45"/>
  <c r="Y28" i="45"/>
  <c r="Y27" i="45"/>
  <c r="J33" i="45"/>
  <c r="L33" i="45" s="1"/>
  <c r="S34" i="45"/>
  <c r="S35" i="45" s="1"/>
  <c r="F38" i="96"/>
  <c r="S18" i="31"/>
  <c r="AC18" i="31" s="1"/>
  <c r="AB27" i="45"/>
  <c r="C33" i="45"/>
  <c r="D21" i="48"/>
  <c r="D23" i="48"/>
  <c r="D25" i="48"/>
  <c r="E13" i="48"/>
  <c r="F13" i="48"/>
  <c r="F28" i="48" s="1"/>
  <c r="F34" i="48" s="1"/>
  <c r="B13" i="48"/>
  <c r="B28" i="48" s="1"/>
  <c r="D9" i="48"/>
  <c r="L24" i="45" l="1"/>
  <c r="AE24" i="45"/>
  <c r="Y33" i="45"/>
  <c r="AA27" i="45"/>
  <c r="G38" i="96"/>
  <c r="G24" i="96" s="1"/>
  <c r="U18" i="31"/>
  <c r="AF14" i="45"/>
  <c r="J34" i="45"/>
  <c r="D39" i="109"/>
  <c r="F39" i="109" s="1"/>
  <c r="AE18" i="31"/>
  <c r="K28" i="45"/>
  <c r="AE28" i="45" s="1"/>
  <c r="AF24" i="45"/>
  <c r="K27" i="45"/>
  <c r="L27" i="45" s="1"/>
  <c r="L23" i="108"/>
  <c r="N23" i="108" s="1"/>
  <c r="H29" i="108"/>
  <c r="J29" i="108" s="1"/>
  <c r="AC27" i="45"/>
  <c r="Y34" i="45"/>
  <c r="T18" i="31"/>
  <c r="G22" i="96"/>
  <c r="G30" i="96"/>
  <c r="G20" i="96"/>
  <c r="G12" i="96"/>
  <c r="G26" i="96"/>
  <c r="F30" i="96"/>
  <c r="F26" i="96"/>
  <c r="F18" i="96"/>
  <c r="F12" i="96"/>
  <c r="F10" i="96"/>
  <c r="F14" i="96"/>
  <c r="F24" i="96"/>
  <c r="F22" i="96"/>
  <c r="F32" i="96"/>
  <c r="F28" i="96"/>
  <c r="F20" i="96"/>
  <c r="F16" i="96"/>
  <c r="X18" i="31"/>
  <c r="X26" i="31" s="1"/>
  <c r="E16" i="91" s="1"/>
  <c r="S26" i="31"/>
  <c r="C34" i="45"/>
  <c r="H34" i="68"/>
  <c r="M34" i="68"/>
  <c r="R34" i="68"/>
  <c r="G16" i="96" l="1"/>
  <c r="G10" i="96"/>
  <c r="G14" i="96"/>
  <c r="G8" i="96" s="1"/>
  <c r="G28" i="96"/>
  <c r="V18" i="31"/>
  <c r="T26" i="31"/>
  <c r="Z18" i="31"/>
  <c r="Z26" i="31" s="1"/>
  <c r="U26" i="31"/>
  <c r="V26" i="31" s="1"/>
  <c r="Y35" i="45"/>
  <c r="AA35" i="45" s="1"/>
  <c r="AA34" i="45"/>
  <c r="J35" i="45"/>
  <c r="L34" i="45"/>
  <c r="G18" i="96"/>
  <c r="G32" i="96"/>
  <c r="D38" i="103"/>
  <c r="F38" i="103" s="1"/>
  <c r="AA33" i="45"/>
  <c r="H32" i="108"/>
  <c r="L32" i="108" s="1"/>
  <c r="L29" i="108"/>
  <c r="N29" i="108" s="1"/>
  <c r="H31" i="108"/>
  <c r="J31" i="108" s="1"/>
  <c r="AE26" i="31"/>
  <c r="L39" i="109"/>
  <c r="N39" i="109" s="1"/>
  <c r="D40" i="109"/>
  <c r="F40" i="109" s="1"/>
  <c r="K35" i="45"/>
  <c r="AE27" i="45"/>
  <c r="AF27" i="45" s="1"/>
  <c r="Y18" i="31"/>
  <c r="Y26" i="31" s="1"/>
  <c r="AD18" i="31"/>
  <c r="AD26" i="31" s="1"/>
  <c r="S35" i="31"/>
  <c r="F34" i="96"/>
  <c r="F43" i="96" s="1"/>
  <c r="F8" i="96"/>
  <c r="C11" i="4"/>
  <c r="C31" i="106"/>
  <c r="C35" i="45"/>
  <c r="M17" i="31"/>
  <c r="R29" i="31"/>
  <c r="D34" i="39"/>
  <c r="J13" i="18"/>
  <c r="I13" i="18"/>
  <c r="H13" i="18"/>
  <c r="G13" i="18"/>
  <c r="G34" i="96" l="1"/>
  <c r="G43" i="96" s="1"/>
  <c r="AA18" i="31"/>
  <c r="U36" i="31"/>
  <c r="U35" i="31"/>
  <c r="U48" i="31" s="1"/>
  <c r="D39" i="103"/>
  <c r="F39" i="103" s="1"/>
  <c r="L38" i="103"/>
  <c r="N38" i="103" s="1"/>
  <c r="L35" i="45"/>
  <c r="AF18" i="31"/>
  <c r="E11" i="4"/>
  <c r="AA26" i="31"/>
  <c r="Z35" i="31"/>
  <c r="Z36" i="31"/>
  <c r="L31" i="108"/>
  <c r="N31" i="108" s="1"/>
  <c r="H40" i="108"/>
  <c r="J40" i="108" s="1"/>
  <c r="L40" i="109"/>
  <c r="N40" i="109" s="1"/>
  <c r="D41" i="109"/>
  <c r="AE35" i="45"/>
  <c r="J11" i="4"/>
  <c r="AF26" i="31"/>
  <c r="AE35" i="31"/>
  <c r="AE36" i="31"/>
  <c r="T35" i="31"/>
  <c r="I11" i="4"/>
  <c r="D11" i="4"/>
  <c r="L13" i="18"/>
  <c r="J14" i="18"/>
  <c r="I14" i="18"/>
  <c r="H14" i="18"/>
  <c r="V35" i="31" l="1"/>
  <c r="L41" i="109"/>
  <c r="F41" i="109"/>
  <c r="J15" i="4"/>
  <c r="J17" i="4" s="1"/>
  <c r="K11" i="4"/>
  <c r="E15" i="4"/>
  <c r="E17" i="4" s="1"/>
  <c r="F11" i="4"/>
  <c r="D40" i="103"/>
  <c r="L39" i="103"/>
  <c r="N39" i="103" s="1"/>
  <c r="AE48" i="31"/>
  <c r="Z48" i="31"/>
  <c r="F14" i="18"/>
  <c r="M26" i="68"/>
  <c r="M11" i="68"/>
  <c r="M20" i="68" s="1"/>
  <c r="M31" i="31"/>
  <c r="M29" i="31"/>
  <c r="M19" i="31"/>
  <c r="M21" i="31"/>
  <c r="L40" i="103" l="1"/>
  <c r="F40" i="103"/>
  <c r="N41" i="109"/>
  <c r="M37" i="31"/>
  <c r="AC19" i="31"/>
  <c r="M27" i="68"/>
  <c r="M35" i="68" s="1"/>
  <c r="M26" i="31"/>
  <c r="D23" i="92"/>
  <c r="N40" i="103" l="1"/>
  <c r="AC26" i="31"/>
  <c r="N36" i="31"/>
  <c r="N35" i="31"/>
  <c r="H42" i="93"/>
  <c r="E41" i="93"/>
  <c r="L34" i="93"/>
  <c r="O34" i="93"/>
  <c r="H22" i="93"/>
  <c r="E21" i="93"/>
  <c r="H20" i="93"/>
  <c r="H19" i="93"/>
  <c r="E19" i="93"/>
  <c r="K11" i="82" l="1"/>
  <c r="I11" i="82"/>
  <c r="C11" i="82"/>
  <c r="L11" i="82"/>
  <c r="F11" i="82"/>
  <c r="J11" i="82"/>
  <c r="D11" i="82"/>
  <c r="M11" i="82"/>
  <c r="G11" i="82"/>
  <c r="E11" i="82"/>
  <c r="N11" i="82"/>
  <c r="H11" i="82"/>
  <c r="P10" i="82"/>
  <c r="H11" i="4"/>
  <c r="F16" i="91"/>
  <c r="H24" i="93"/>
  <c r="F24" i="93"/>
  <c r="E24" i="93"/>
  <c r="E42" i="93"/>
  <c r="F42" i="93"/>
  <c r="H54" i="93"/>
  <c r="H38" i="93"/>
  <c r="E38" i="93"/>
  <c r="F55" i="93" l="1"/>
  <c r="O11" i="82"/>
  <c r="I13" i="68"/>
  <c r="C49" i="97" s="1"/>
  <c r="N47" i="31"/>
  <c r="N48" i="31" s="1"/>
  <c r="H55" i="93"/>
  <c r="I9" i="92" s="1"/>
  <c r="I44" i="92" s="1"/>
  <c r="H13" i="68" s="1"/>
  <c r="C11" i="68"/>
  <c r="C27" i="31"/>
  <c r="O49" i="97" l="1"/>
  <c r="O63" i="97" s="1"/>
  <c r="I20" i="68"/>
  <c r="I36" i="31" s="1"/>
  <c r="B39" i="96"/>
  <c r="AC27" i="31"/>
  <c r="AC29" i="31" s="1"/>
  <c r="D29" i="31"/>
  <c r="C25" i="104" s="1"/>
  <c r="K25" i="104" s="1"/>
  <c r="O65" i="97" l="1"/>
  <c r="O69" i="97" s="1"/>
  <c r="O35" i="97"/>
  <c r="P49" i="97"/>
  <c r="D63" i="97"/>
  <c r="F63" i="97" s="1"/>
  <c r="H12" i="4"/>
  <c r="F20" i="91"/>
  <c r="D15" i="82"/>
  <c r="H15" i="82"/>
  <c r="M15" i="82"/>
  <c r="G15" i="82"/>
  <c r="L15" i="82"/>
  <c r="J15" i="82"/>
  <c r="E15" i="82"/>
  <c r="I15" i="82"/>
  <c r="K15" i="82"/>
  <c r="C15" i="82"/>
  <c r="N15" i="82"/>
  <c r="F15" i="82"/>
  <c r="I27" i="68"/>
  <c r="I35" i="68" s="1"/>
  <c r="B27" i="96"/>
  <c r="H27" i="96" s="1"/>
  <c r="B15" i="96"/>
  <c r="H15" i="96" s="1"/>
  <c r="B19" i="96"/>
  <c r="H19" i="96" s="1"/>
  <c r="B33" i="96"/>
  <c r="H33" i="96" s="1"/>
  <c r="B25" i="96"/>
  <c r="H25" i="96" s="1"/>
  <c r="B17" i="96"/>
  <c r="H17" i="96" s="1"/>
  <c r="B31" i="96"/>
  <c r="H31" i="96" s="1"/>
  <c r="B23" i="96"/>
  <c r="H23" i="96" s="1"/>
  <c r="B13" i="96"/>
  <c r="H13" i="96" s="1"/>
  <c r="B29" i="96"/>
  <c r="H29" i="96" s="1"/>
  <c r="B21" i="96"/>
  <c r="H21" i="96" s="1"/>
  <c r="B11" i="96"/>
  <c r="H39" i="96"/>
  <c r="X29" i="31"/>
  <c r="E20" i="91" s="1"/>
  <c r="D37" i="31"/>
  <c r="D21" i="41"/>
  <c r="AC37" i="31"/>
  <c r="P63" i="97" l="1"/>
  <c r="R63" i="97" s="1"/>
  <c r="R49" i="97"/>
  <c r="P65" i="97"/>
  <c r="P35" i="97"/>
  <c r="D65" i="97"/>
  <c r="D35" i="97"/>
  <c r="I46" i="31"/>
  <c r="C41" i="97" s="1"/>
  <c r="B35" i="96"/>
  <c r="B9" i="96"/>
  <c r="H9" i="96" s="1"/>
  <c r="H11" i="96"/>
  <c r="D27" i="41"/>
  <c r="C59" i="104"/>
  <c r="X37" i="31"/>
  <c r="C35" i="106"/>
  <c r="C37" i="106" s="1"/>
  <c r="C40" i="106" s="1"/>
  <c r="C12" i="4"/>
  <c r="E36" i="39"/>
  <c r="A2" i="91"/>
  <c r="A1" i="91"/>
  <c r="D30" i="91"/>
  <c r="D33" i="91" s="1"/>
  <c r="C30" i="91"/>
  <c r="C33" i="91" s="1"/>
  <c r="J27" i="91"/>
  <c r="J29" i="91" s="1"/>
  <c r="I27" i="91"/>
  <c r="I29" i="91" s="1"/>
  <c r="D22" i="91"/>
  <c r="C22" i="91"/>
  <c r="J21" i="91"/>
  <c r="I21" i="91"/>
  <c r="J16" i="91"/>
  <c r="J17" i="91" s="1"/>
  <c r="I16" i="91"/>
  <c r="I17" i="91" s="1"/>
  <c r="D18" i="91"/>
  <c r="C60" i="104" l="1"/>
  <c r="K60" i="104" s="1"/>
  <c r="K59" i="104"/>
  <c r="P69" i="97"/>
  <c r="R65" i="97"/>
  <c r="D69" i="97"/>
  <c r="F69" i="97" s="1"/>
  <c r="F65" i="97"/>
  <c r="O41" i="97"/>
  <c r="B38" i="96"/>
  <c r="B32" i="96" s="1"/>
  <c r="I47" i="31"/>
  <c r="I48" i="31" s="1"/>
  <c r="E37" i="39"/>
  <c r="D18" i="68" s="1"/>
  <c r="AC18" i="68" s="1"/>
  <c r="F37" i="39"/>
  <c r="F38" i="39" s="1"/>
  <c r="B44" i="96"/>
  <c r="H35" i="96"/>
  <c r="H44" i="96" s="1"/>
  <c r="J22" i="91"/>
  <c r="J30" i="91" s="1"/>
  <c r="D23" i="91"/>
  <c r="D34" i="91" s="1"/>
  <c r="I22" i="91"/>
  <c r="I30" i="91" s="1"/>
  <c r="I37" i="91" s="1"/>
  <c r="C18" i="91"/>
  <c r="C23" i="91" s="1"/>
  <c r="C34" i="91" s="1"/>
  <c r="R69" i="97" l="1"/>
  <c r="B18" i="96"/>
  <c r="B22" i="96"/>
  <c r="B16" i="96"/>
  <c r="B14" i="96"/>
  <c r="B28" i="96"/>
  <c r="B26" i="96"/>
  <c r="B12" i="96"/>
  <c r="B10" i="96"/>
  <c r="D42" i="97"/>
  <c r="F42" i="97" s="1"/>
  <c r="P41" i="97"/>
  <c r="R41" i="97" s="1"/>
  <c r="B20" i="96"/>
  <c r="B24" i="96"/>
  <c r="B30" i="96"/>
  <c r="E38" i="39"/>
  <c r="E18" i="68"/>
  <c r="E19" i="68" s="1"/>
  <c r="L15" i="91"/>
  <c r="L16" i="91" s="1"/>
  <c r="K26" i="82"/>
  <c r="H26" i="82"/>
  <c r="L26" i="82"/>
  <c r="I26" i="82"/>
  <c r="F26" i="82"/>
  <c r="J26" i="82"/>
  <c r="G26" i="82"/>
  <c r="E26" i="82"/>
  <c r="I38" i="91"/>
  <c r="X18" i="68"/>
  <c r="D19" i="68"/>
  <c r="B8" i="96" l="1"/>
  <c r="P42" i="97"/>
  <c r="D43" i="97"/>
  <c r="F43" i="97" s="1"/>
  <c r="B34" i="96"/>
  <c r="B43" i="96" s="1"/>
  <c r="Y18" i="68"/>
  <c r="AA18" i="68" s="1"/>
  <c r="AD18" i="68"/>
  <c r="AF18" i="68" s="1"/>
  <c r="K15" i="91"/>
  <c r="K16" i="91" s="1"/>
  <c r="P43" i="97" l="1"/>
  <c r="R42" i="97"/>
  <c r="E20" i="68"/>
  <c r="G20" i="68" s="1"/>
  <c r="C33" i="31"/>
  <c r="C32" i="31"/>
  <c r="R43" i="97" l="1"/>
  <c r="E27" i="68"/>
  <c r="G27" i="68" s="1"/>
  <c r="C34" i="31"/>
  <c r="B14" i="4" l="1"/>
  <c r="D36" i="106" l="1"/>
  <c r="E36" i="106" s="1"/>
  <c r="F36" i="106" s="1"/>
  <c r="F72" i="90"/>
  <c r="D11" i="87" s="1"/>
  <c r="E11" i="87" s="1"/>
  <c r="G11" i="87" s="1"/>
  <c r="F63" i="90"/>
  <c r="G63" i="90" s="1"/>
  <c r="F60" i="90"/>
  <c r="G60" i="90" s="1"/>
  <c r="F52" i="90"/>
  <c r="F44" i="90"/>
  <c r="F32" i="90"/>
  <c r="AD11" i="87" l="1"/>
  <c r="AF11" i="87" s="1"/>
  <c r="Y11" i="87"/>
  <c r="AA11" i="87" s="1"/>
  <c r="F68" i="90"/>
  <c r="G52" i="90"/>
  <c r="X11" i="87"/>
  <c r="AC11" i="87"/>
  <c r="X8" i="87"/>
  <c r="AC8" i="87"/>
  <c r="F40" i="90"/>
  <c r="G40" i="90" s="1"/>
  <c r="F36" i="90"/>
  <c r="D10" i="6"/>
  <c r="F31" i="90" l="1"/>
  <c r="G31" i="90" s="1"/>
  <c r="G36" i="90"/>
  <c r="D10" i="87"/>
  <c r="E10" i="87" s="1"/>
  <c r="G10" i="87" s="1"/>
  <c r="G68" i="90"/>
  <c r="F49" i="90"/>
  <c r="C23" i="87"/>
  <c r="AC10" i="87" l="1"/>
  <c r="X10" i="87"/>
  <c r="AD10" i="87"/>
  <c r="AF10" i="87" s="1"/>
  <c r="Y10" i="87"/>
  <c r="AA10" i="87" s="1"/>
  <c r="D9" i="87"/>
  <c r="E9" i="87" s="1"/>
  <c r="G9" i="87" s="1"/>
  <c r="G49" i="90"/>
  <c r="H9" i="88"/>
  <c r="C9" i="88"/>
  <c r="H34" i="88"/>
  <c r="D15" i="23"/>
  <c r="D19" i="23" s="1"/>
  <c r="D21" i="23" s="1"/>
  <c r="C15" i="68"/>
  <c r="AB15" i="68" s="1"/>
  <c r="H19" i="68"/>
  <c r="C23" i="68"/>
  <c r="AB23" i="68" s="1"/>
  <c r="H11" i="68"/>
  <c r="R17" i="31"/>
  <c r="H23" i="87"/>
  <c r="H12" i="31" s="1"/>
  <c r="H13" i="31" s="1"/>
  <c r="H13" i="87"/>
  <c r="H8" i="31" s="1"/>
  <c r="H18" i="87"/>
  <c r="H9" i="31" s="1"/>
  <c r="H20" i="31"/>
  <c r="H23" i="31"/>
  <c r="H14" i="31"/>
  <c r="C12" i="31"/>
  <c r="C9" i="31"/>
  <c r="C30" i="31"/>
  <c r="C31" i="31" s="1"/>
  <c r="C20" i="31"/>
  <c r="C22" i="31"/>
  <c r="C23" i="31"/>
  <c r="C14" i="31"/>
  <c r="H31" i="31"/>
  <c r="H29" i="31"/>
  <c r="C42" i="31"/>
  <c r="C39" i="31"/>
  <c r="C29" i="31"/>
  <c r="D35" i="39"/>
  <c r="D36" i="39"/>
  <c r="D40" i="39"/>
  <c r="D33" i="39"/>
  <c r="C17" i="68" s="1"/>
  <c r="C16" i="68"/>
  <c r="I26" i="38"/>
  <c r="D12" i="38"/>
  <c r="D27" i="38" s="1"/>
  <c r="I12" i="38"/>
  <c r="C33" i="25"/>
  <c r="C19" i="25"/>
  <c r="D50" i="6"/>
  <c r="I50" i="6"/>
  <c r="H24" i="31" s="1"/>
  <c r="I45" i="6"/>
  <c r="H22" i="31" s="1"/>
  <c r="I41" i="6"/>
  <c r="H21" i="31" s="1"/>
  <c r="C21" i="31"/>
  <c r="I35" i="6"/>
  <c r="H19" i="31" s="1"/>
  <c r="H18" i="31"/>
  <c r="D20" i="6"/>
  <c r="I20" i="6"/>
  <c r="H16" i="31" s="1"/>
  <c r="C15" i="31"/>
  <c r="I15" i="6"/>
  <c r="H15" i="31" s="1"/>
  <c r="M13" i="87"/>
  <c r="M18" i="87"/>
  <c r="M9" i="31" s="1"/>
  <c r="M10" i="31" s="1"/>
  <c r="M23" i="87"/>
  <c r="W15" i="87"/>
  <c r="W16" i="87"/>
  <c r="W17" i="87"/>
  <c r="W21" i="87"/>
  <c r="AB15" i="87"/>
  <c r="AB16" i="87"/>
  <c r="AB17" i="87"/>
  <c r="AB9" i="87"/>
  <c r="AB10" i="87"/>
  <c r="AB11" i="87"/>
  <c r="AB12" i="87"/>
  <c r="W9" i="87"/>
  <c r="W10" i="87"/>
  <c r="W11" i="87"/>
  <c r="W12" i="87"/>
  <c r="R9" i="68"/>
  <c r="AB10" i="68"/>
  <c r="R12" i="68"/>
  <c r="AB12" i="68" s="1"/>
  <c r="R13" i="68"/>
  <c r="AB32" i="31"/>
  <c r="AB33" i="31"/>
  <c r="AB38" i="31"/>
  <c r="AB28" i="31"/>
  <c r="AB27" i="31"/>
  <c r="D10" i="48"/>
  <c r="C11" i="48"/>
  <c r="D11" i="48" s="1"/>
  <c r="C12" i="48"/>
  <c r="D12" i="48" s="1"/>
  <c r="D17" i="48"/>
  <c r="D20" i="48"/>
  <c r="D24" i="48" s="1"/>
  <c r="D26" i="48" s="1"/>
  <c r="D32" i="48"/>
  <c r="D33" i="48"/>
  <c r="B34" i="48"/>
  <c r="C22" i="25"/>
  <c r="A1" i="25"/>
  <c r="A1" i="87"/>
  <c r="G17" i="18"/>
  <c r="A2" i="82"/>
  <c r="A1" i="82"/>
  <c r="O25" i="82"/>
  <c r="P25" i="82" s="1"/>
  <c r="O24" i="82"/>
  <c r="P24" i="82" s="1"/>
  <c r="O16" i="82"/>
  <c r="O15" i="82"/>
  <c r="P15" i="82" s="1"/>
  <c r="O14" i="82"/>
  <c r="O12" i="82"/>
  <c r="A2" i="55"/>
  <c r="A2" i="106" s="1"/>
  <c r="A1" i="55"/>
  <c r="A1" i="106" s="1"/>
  <c r="J17" i="18"/>
  <c r="H17" i="18"/>
  <c r="O26" i="82"/>
  <c r="A2" i="48"/>
  <c r="A2" i="114" s="1"/>
  <c r="A2" i="121" s="1"/>
  <c r="A5" i="18"/>
  <c r="A4" i="18"/>
  <c r="A1" i="40"/>
  <c r="A1" i="41"/>
  <c r="A1" i="39"/>
  <c r="A1" i="38"/>
  <c r="A1" i="23"/>
  <c r="A1" i="6"/>
  <c r="A2" i="104"/>
  <c r="A2" i="97" s="1"/>
  <c r="A2" i="98" s="1"/>
  <c r="A1" i="45"/>
  <c r="A1" i="104" s="1"/>
  <c r="A1" i="97" s="1"/>
  <c r="A1" i="98" s="1"/>
  <c r="A1" i="31"/>
  <c r="A1" i="68"/>
  <c r="A1" i="48"/>
  <c r="A1" i="114" s="1"/>
  <c r="A1" i="121" s="1"/>
  <c r="E16" i="18"/>
  <c r="F16" i="18"/>
  <c r="E17" i="18"/>
  <c r="H16" i="18"/>
  <c r="I16" i="18"/>
  <c r="J16" i="18"/>
  <c r="G16" i="18"/>
  <c r="L15" i="18"/>
  <c r="L16" i="18" s="1"/>
  <c r="C9" i="55"/>
  <c r="I17" i="18"/>
  <c r="K17" i="18"/>
  <c r="B22" i="25"/>
  <c r="L12" i="18"/>
  <c r="K16" i="18"/>
  <c r="A30" i="121" l="1"/>
  <c r="A1" i="115"/>
  <c r="A1" i="123" s="1"/>
  <c r="A117" i="123" s="1"/>
  <c r="A1" i="124" s="1"/>
  <c r="A1" i="125" s="1"/>
  <c r="A1" i="122"/>
  <c r="A31" i="121"/>
  <c r="A2" i="122"/>
  <c r="A2" i="115"/>
  <c r="A2" i="123" s="1"/>
  <c r="A118" i="123" s="1"/>
  <c r="A2" i="124" s="1"/>
  <c r="A2" i="125" s="1"/>
  <c r="A1" i="88"/>
  <c r="E13" i="87"/>
  <c r="W23" i="68"/>
  <c r="D13" i="87"/>
  <c r="D8" i="31" s="1"/>
  <c r="C8" i="104" s="1"/>
  <c r="K8" i="104" s="1"/>
  <c r="X9" i="87"/>
  <c r="X13" i="87" s="1"/>
  <c r="X19" i="87" s="1"/>
  <c r="X24" i="87" s="1"/>
  <c r="AC9" i="87"/>
  <c r="AC13" i="87" s="1"/>
  <c r="AC19" i="87" s="1"/>
  <c r="AC24" i="87" s="1"/>
  <c r="C25" i="68"/>
  <c r="AB25" i="68" s="1"/>
  <c r="R15" i="4" s="1"/>
  <c r="D43" i="39"/>
  <c r="I27" i="38"/>
  <c r="H14" i="68" s="1"/>
  <c r="A1" i="108"/>
  <c r="A1" i="109" s="1"/>
  <c r="A1" i="101" s="1"/>
  <c r="A1" i="102" s="1"/>
  <c r="A1" i="103" s="1"/>
  <c r="A2" i="108"/>
  <c r="A2" i="109" s="1"/>
  <c r="A2" i="101" s="1"/>
  <c r="A2" i="102" s="1"/>
  <c r="A2" i="103" s="1"/>
  <c r="A2" i="87" s="1"/>
  <c r="A1" i="90"/>
  <c r="P26" i="82"/>
  <c r="P12" i="82"/>
  <c r="AB23" i="31"/>
  <c r="AB39" i="31"/>
  <c r="K18" i="18"/>
  <c r="K19" i="18" s="1"/>
  <c r="I18" i="18"/>
  <c r="I19" i="18" s="1"/>
  <c r="E18" i="18"/>
  <c r="E19" i="18" s="1"/>
  <c r="D30" i="23"/>
  <c r="C28" i="68" s="1"/>
  <c r="C30" i="68" s="1"/>
  <c r="E30" i="23"/>
  <c r="E54" i="93"/>
  <c r="E55" i="93" s="1"/>
  <c r="D9" i="92" s="1"/>
  <c r="D44" i="92" s="1"/>
  <c r="C13" i="68" s="1"/>
  <c r="W15" i="68"/>
  <c r="R9" i="4"/>
  <c r="AB17" i="68"/>
  <c r="AB42" i="31"/>
  <c r="AB14" i="31"/>
  <c r="M35" i="31"/>
  <c r="M46" i="31" s="1"/>
  <c r="M47" i="31" s="1"/>
  <c r="M48" i="31" s="1"/>
  <c r="M36" i="31"/>
  <c r="AB34" i="31"/>
  <c r="C44" i="31"/>
  <c r="H38" i="88"/>
  <c r="H22" i="68" s="1"/>
  <c r="H21" i="68"/>
  <c r="C71" i="40"/>
  <c r="C21" i="68" s="1"/>
  <c r="C38" i="88"/>
  <c r="C22" i="68" s="1"/>
  <c r="C16" i="31"/>
  <c r="H32" i="18"/>
  <c r="G21" i="18" s="1"/>
  <c r="H21" i="18" s="1"/>
  <c r="I21" i="18" s="1"/>
  <c r="J21" i="18" s="1"/>
  <c r="D21" i="6"/>
  <c r="C24" i="31"/>
  <c r="AB24" i="31" s="1"/>
  <c r="D52" i="6"/>
  <c r="AB22" i="31"/>
  <c r="R11" i="68"/>
  <c r="W9" i="68"/>
  <c r="D37" i="39"/>
  <c r="C18" i="68" s="1"/>
  <c r="AB18" i="68" s="1"/>
  <c r="G18" i="18"/>
  <c r="G19" i="18" s="1"/>
  <c r="F17" i="18"/>
  <c r="F18" i="18" s="1"/>
  <c r="F19" i="18" s="1"/>
  <c r="C13" i="48"/>
  <c r="C28" i="48" s="1"/>
  <c r="C34" i="48" s="1"/>
  <c r="E28" i="48"/>
  <c r="E34" i="48" s="1"/>
  <c r="AB29" i="31"/>
  <c r="L14" i="18"/>
  <c r="L17" i="18" s="1"/>
  <c r="L18" i="18" s="1"/>
  <c r="L19" i="18" s="1"/>
  <c r="D13" i="48"/>
  <c r="D28" i="48" s="1"/>
  <c r="D34" i="48" s="1"/>
  <c r="AB20" i="31"/>
  <c r="AB43" i="31"/>
  <c r="C40" i="31"/>
  <c r="W10" i="68"/>
  <c r="H26" i="31"/>
  <c r="W12" i="68"/>
  <c r="AB30" i="31"/>
  <c r="AB31" i="31" s="1"/>
  <c r="W17" i="68"/>
  <c r="C14" i="68"/>
  <c r="C27" i="41"/>
  <c r="H19" i="87"/>
  <c r="H24" i="87" s="1"/>
  <c r="W23" i="87"/>
  <c r="R12" i="31" s="1"/>
  <c r="R13" i="31" s="1"/>
  <c r="R35" i="31" s="1"/>
  <c r="AB9" i="31"/>
  <c r="F74" i="90"/>
  <c r="AB8" i="87"/>
  <c r="AB13" i="87" s="1"/>
  <c r="W8" i="87"/>
  <c r="W13" i="87" s="1"/>
  <c r="H17" i="31"/>
  <c r="C8" i="31"/>
  <c r="C19" i="87"/>
  <c r="C24" i="87" s="1"/>
  <c r="W18" i="87"/>
  <c r="AB18" i="87"/>
  <c r="W12" i="31"/>
  <c r="W13" i="31" s="1"/>
  <c r="W35" i="31" s="1"/>
  <c r="W48" i="31" s="1"/>
  <c r="H10" i="31"/>
  <c r="H18" i="18"/>
  <c r="H19" i="18" s="1"/>
  <c r="J18" i="18"/>
  <c r="J19" i="18" s="1"/>
  <c r="R26" i="68"/>
  <c r="AB9" i="68"/>
  <c r="AB15" i="31"/>
  <c r="AB19" i="31"/>
  <c r="W16" i="68"/>
  <c r="AB16" i="68"/>
  <c r="C13" i="31"/>
  <c r="AB21" i="31"/>
  <c r="M19" i="87"/>
  <c r="M24" i="87" s="1"/>
  <c r="I52" i="6"/>
  <c r="I21" i="6"/>
  <c r="C18" i="31"/>
  <c r="A1" i="113" l="1"/>
  <c r="A1" i="126"/>
  <c r="A69" i="122"/>
  <c r="A2" i="113"/>
  <c r="A2" i="126"/>
  <c r="E19" i="87"/>
  <c r="G19" i="87" s="1"/>
  <c r="G13" i="87"/>
  <c r="A2" i="90"/>
  <c r="A2" i="25"/>
  <c r="A2" i="23" s="1"/>
  <c r="A70" i="122"/>
  <c r="A4" i="110"/>
  <c r="D19" i="87"/>
  <c r="D24" i="87" s="1"/>
  <c r="C26" i="31"/>
  <c r="W25" i="68"/>
  <c r="AD9" i="87"/>
  <c r="Y9" i="87"/>
  <c r="W28" i="68"/>
  <c r="AB30" i="68"/>
  <c r="AB34" i="68" s="1"/>
  <c r="R17" i="4" s="1"/>
  <c r="X8" i="31"/>
  <c r="E8" i="91" s="1"/>
  <c r="AC8" i="31"/>
  <c r="G12" i="4"/>
  <c r="B12" i="4"/>
  <c r="B13" i="4"/>
  <c r="G14" i="4"/>
  <c r="G13" i="4"/>
  <c r="R37" i="31"/>
  <c r="AB12" i="31"/>
  <c r="AB13" i="31" s="1"/>
  <c r="G9" i="4" s="1"/>
  <c r="AB13" i="68"/>
  <c r="R10" i="4" s="1"/>
  <c r="D35" i="106"/>
  <c r="E35" i="106" s="1"/>
  <c r="F35" i="106" s="1"/>
  <c r="D10" i="31"/>
  <c r="D35" i="31" s="1"/>
  <c r="D48" i="31" s="1"/>
  <c r="AB28" i="68"/>
  <c r="W13" i="68"/>
  <c r="C10" i="104"/>
  <c r="K10" i="104" s="1"/>
  <c r="W19" i="87"/>
  <c r="W24" i="87" s="1"/>
  <c r="F22" i="91"/>
  <c r="C17" i="31"/>
  <c r="H20" i="68"/>
  <c r="H36" i="31" s="1"/>
  <c r="C39" i="104"/>
  <c r="K39" i="104" s="1"/>
  <c r="C64" i="97"/>
  <c r="C67" i="104"/>
  <c r="K67" i="104" s="1"/>
  <c r="AB19" i="87"/>
  <c r="AB24" i="87" s="1"/>
  <c r="M15" i="4"/>
  <c r="D16" i="106"/>
  <c r="E16" i="106" s="1"/>
  <c r="F16" i="106" s="1"/>
  <c r="M9" i="4"/>
  <c r="D9" i="106"/>
  <c r="E9" i="106" s="1"/>
  <c r="F9" i="106" s="1"/>
  <c r="D32" i="106"/>
  <c r="E32" i="106" s="1"/>
  <c r="F32" i="106" s="1"/>
  <c r="W22" i="68"/>
  <c r="H26" i="68"/>
  <c r="H37" i="31" s="1"/>
  <c r="D38" i="39"/>
  <c r="C26" i="68"/>
  <c r="AB22" i="68"/>
  <c r="AB16" i="31"/>
  <c r="C19" i="68"/>
  <c r="W18" i="68"/>
  <c r="H35" i="31"/>
  <c r="AB40" i="31"/>
  <c r="B10" i="4"/>
  <c r="AB44" i="31"/>
  <c r="AB8" i="31"/>
  <c r="W14" i="68"/>
  <c r="AB14" i="68"/>
  <c r="C47" i="31"/>
  <c r="AB21" i="68"/>
  <c r="C10" i="31"/>
  <c r="W21" i="68"/>
  <c r="AB18" i="31"/>
  <c r="AB26" i="31" s="1"/>
  <c r="G11" i="4" s="1"/>
  <c r="W11" i="68"/>
  <c r="AB11" i="68"/>
  <c r="Y13" i="87" l="1"/>
  <c r="AA13" i="87" s="1"/>
  <c r="AA9" i="87"/>
  <c r="AD13" i="87"/>
  <c r="AF13" i="87" s="1"/>
  <c r="AF9" i="87"/>
  <c r="E8" i="31"/>
  <c r="E24" i="87"/>
  <c r="G24" i="87" s="1"/>
  <c r="C35" i="31"/>
  <c r="C48" i="31" s="1"/>
  <c r="AC10" i="31"/>
  <c r="AC35" i="31" s="1"/>
  <c r="AC48" i="31" s="1"/>
  <c r="F8" i="91"/>
  <c r="F11" i="91" s="1"/>
  <c r="W30" i="68"/>
  <c r="E9" i="92"/>
  <c r="E44" i="92" s="1"/>
  <c r="D13" i="68" s="1"/>
  <c r="C52" i="104" s="1"/>
  <c r="K52" i="104" s="1"/>
  <c r="X10" i="31"/>
  <c r="M10" i="4"/>
  <c r="AC28" i="68"/>
  <c r="X28" i="68"/>
  <c r="AB17" i="31"/>
  <c r="D8" i="106"/>
  <c r="E8" i="106" s="1"/>
  <c r="F8" i="106" s="1"/>
  <c r="E11" i="91"/>
  <c r="E18" i="91" s="1"/>
  <c r="AB10" i="31"/>
  <c r="C31" i="104"/>
  <c r="K31" i="104" s="1"/>
  <c r="C15" i="104"/>
  <c r="R11" i="4"/>
  <c r="C63" i="97"/>
  <c r="C42" i="104"/>
  <c r="K42" i="104" s="1"/>
  <c r="C36" i="97"/>
  <c r="R13" i="4"/>
  <c r="K21" i="91"/>
  <c r="R14" i="4"/>
  <c r="AB47" i="31"/>
  <c r="G16" i="4" s="1"/>
  <c r="F30" i="91"/>
  <c r="F33" i="91" s="1"/>
  <c r="M11" i="4"/>
  <c r="D11" i="106"/>
  <c r="E11" i="106" s="1"/>
  <c r="F11" i="106" s="1"/>
  <c r="D30" i="106"/>
  <c r="E30" i="106" s="1"/>
  <c r="F30" i="106" s="1"/>
  <c r="M14" i="4"/>
  <c r="H27" i="68"/>
  <c r="H35" i="68" s="1"/>
  <c r="M13" i="4"/>
  <c r="E14" i="106"/>
  <c r="F14" i="106" s="1"/>
  <c r="C37" i="31"/>
  <c r="C20" i="68"/>
  <c r="C36" i="31" s="1"/>
  <c r="B11" i="4"/>
  <c r="W26" i="68"/>
  <c r="W37" i="31" s="1"/>
  <c r="AB26" i="68"/>
  <c r="AB37" i="31" s="1"/>
  <c r="M8" i="4"/>
  <c r="R8" i="4"/>
  <c r="D8" i="104" l="1"/>
  <c r="F8" i="104" s="1"/>
  <c r="G8" i="31"/>
  <c r="C30" i="104"/>
  <c r="K30" i="104" s="1"/>
  <c r="K15" i="104"/>
  <c r="L8" i="104"/>
  <c r="N8" i="104" s="1"/>
  <c r="Y8" i="31"/>
  <c r="AA8" i="31" s="1"/>
  <c r="E10" i="31"/>
  <c r="G10" i="31" s="1"/>
  <c r="AD8" i="31"/>
  <c r="AF8" i="31" s="1"/>
  <c r="AB35" i="31"/>
  <c r="AB48" i="31" s="1"/>
  <c r="G8" i="4"/>
  <c r="H8" i="4"/>
  <c r="H15" i="4" s="1"/>
  <c r="H17" i="4" s="1"/>
  <c r="E13" i="82"/>
  <c r="E18" i="82" s="1"/>
  <c r="I13" i="82"/>
  <c r="I18" i="82" s="1"/>
  <c r="M13" i="82"/>
  <c r="M18" i="82" s="1"/>
  <c r="F13" i="82"/>
  <c r="F18" i="82" s="1"/>
  <c r="J13" i="82"/>
  <c r="J18" i="82" s="1"/>
  <c r="N13" i="82"/>
  <c r="N18" i="82" s="1"/>
  <c r="G13" i="82"/>
  <c r="G18" i="82" s="1"/>
  <c r="K13" i="82"/>
  <c r="K18" i="82" s="1"/>
  <c r="D13" i="82"/>
  <c r="D18" i="82" s="1"/>
  <c r="H13" i="82"/>
  <c r="H18" i="82" s="1"/>
  <c r="L13" i="82"/>
  <c r="L18" i="82" s="1"/>
  <c r="C13" i="82"/>
  <c r="C66" i="104"/>
  <c r="K66" i="104" s="1"/>
  <c r="C65" i="97"/>
  <c r="C29" i="106"/>
  <c r="C33" i="106" s="1"/>
  <c r="C8" i="4"/>
  <c r="C15" i="4" s="1"/>
  <c r="G10" i="4"/>
  <c r="E22" i="91"/>
  <c r="E23" i="91" s="1"/>
  <c r="B9" i="4"/>
  <c r="B8" i="4"/>
  <c r="X35" i="31"/>
  <c r="AC13" i="68"/>
  <c r="X13" i="68"/>
  <c r="K10" i="91" s="1"/>
  <c r="K17" i="91" s="1"/>
  <c r="K22" i="91" s="1"/>
  <c r="D20" i="68"/>
  <c r="D36" i="31" s="1"/>
  <c r="X30" i="68"/>
  <c r="AC30" i="68"/>
  <c r="H46" i="31"/>
  <c r="F18" i="91"/>
  <c r="F23" i="91" s="1"/>
  <c r="F34" i="91" s="1"/>
  <c r="F36" i="91" s="1"/>
  <c r="C34" i="104"/>
  <c r="K34" i="104" s="1"/>
  <c r="L21" i="91"/>
  <c r="D31" i="106"/>
  <c r="E31" i="106" s="1"/>
  <c r="F31" i="106" s="1"/>
  <c r="C32" i="104"/>
  <c r="K32" i="104" s="1"/>
  <c r="C35" i="97"/>
  <c r="D41" i="106"/>
  <c r="E15" i="106"/>
  <c r="D17" i="106"/>
  <c r="C27" i="68"/>
  <c r="D10" i="104" l="1"/>
  <c r="F10" i="104" s="1"/>
  <c r="L10" i="104"/>
  <c r="N10" i="104" s="1"/>
  <c r="D30" i="104"/>
  <c r="F30" i="104" s="1"/>
  <c r="E35" i="31"/>
  <c r="E36" i="31"/>
  <c r="C69" i="97"/>
  <c r="O13" i="82"/>
  <c r="C18" i="82"/>
  <c r="B15" i="4"/>
  <c r="L23" i="91"/>
  <c r="L27" i="91" s="1"/>
  <c r="L29" i="91" s="1"/>
  <c r="C23" i="82"/>
  <c r="L23" i="82"/>
  <c r="I23" i="82"/>
  <c r="F23" i="82"/>
  <c r="G15" i="4"/>
  <c r="G17" i="4" s="1"/>
  <c r="G22" i="4" s="1"/>
  <c r="C19" i="106"/>
  <c r="C22" i="106" s="1"/>
  <c r="K23" i="91"/>
  <c r="C33" i="104"/>
  <c r="K33" i="104" s="1"/>
  <c r="C68" i="104"/>
  <c r="K68" i="104" s="1"/>
  <c r="S10" i="4"/>
  <c r="L10" i="91"/>
  <c r="L17" i="91" s="1"/>
  <c r="L22" i="91" s="1"/>
  <c r="B16" i="4"/>
  <c r="C10" i="106"/>
  <c r="D10" i="106" s="1"/>
  <c r="N10" i="4"/>
  <c r="H47" i="31"/>
  <c r="H48" i="31" s="1"/>
  <c r="D29" i="106"/>
  <c r="E29" i="106" s="1"/>
  <c r="F29" i="106" s="1"/>
  <c r="F33" i="106" s="1"/>
  <c r="C38" i="106"/>
  <c r="C49" i="106" s="1"/>
  <c r="D27" i="68"/>
  <c r="C42" i="97"/>
  <c r="O42" i="97" s="1"/>
  <c r="O43" i="97" s="1"/>
  <c r="AC34" i="68"/>
  <c r="S17" i="4" s="1"/>
  <c r="D34" i="106"/>
  <c r="C43" i="104"/>
  <c r="K43" i="104" s="1"/>
  <c r="D45" i="106"/>
  <c r="D48" i="106" s="1"/>
  <c r="E41" i="106"/>
  <c r="F15" i="106"/>
  <c r="F17" i="106" s="1"/>
  <c r="E17" i="106"/>
  <c r="E48" i="31" l="1"/>
  <c r="G35" i="31"/>
  <c r="L30" i="104"/>
  <c r="N30" i="104" s="1"/>
  <c r="D33" i="104"/>
  <c r="L33" i="104" s="1"/>
  <c r="D32" i="104"/>
  <c r="F32" i="104" s="1"/>
  <c r="D19" i="106"/>
  <c r="E19" i="106" s="1"/>
  <c r="D33" i="106"/>
  <c r="L30" i="91"/>
  <c r="O23" i="82"/>
  <c r="P23" i="82" s="1"/>
  <c r="P13" i="82"/>
  <c r="O18" i="82"/>
  <c r="P18" i="82" s="1"/>
  <c r="E33" i="106"/>
  <c r="B17" i="4"/>
  <c r="D37" i="106"/>
  <c r="D40" i="106" s="1"/>
  <c r="E34" i="106"/>
  <c r="C43" i="97"/>
  <c r="F41" i="106"/>
  <c r="F45" i="106" s="1"/>
  <c r="F48" i="106" s="1"/>
  <c r="E45" i="106"/>
  <c r="E48" i="106" s="1"/>
  <c r="G48" i="31" l="1"/>
  <c r="D22" i="106"/>
  <c r="D43" i="104"/>
  <c r="F43" i="104" s="1"/>
  <c r="L32" i="104"/>
  <c r="N32" i="104" s="1"/>
  <c r="B22" i="4"/>
  <c r="E10" i="106"/>
  <c r="F19" i="106"/>
  <c r="F22" i="106" s="1"/>
  <c r="E22" i="106"/>
  <c r="D38" i="106"/>
  <c r="D49" i="106" s="1"/>
  <c r="F34" i="106"/>
  <c r="F37" i="106" s="1"/>
  <c r="E37" i="106"/>
  <c r="L43" i="104" l="1"/>
  <c r="N43" i="104" s="1"/>
  <c r="F10" i="106"/>
  <c r="F38" i="106"/>
  <c r="F49" i="106" s="1"/>
  <c r="F40" i="106"/>
  <c r="E38" i="106"/>
  <c r="E49" i="106" s="1"/>
  <c r="E40" i="106"/>
  <c r="I47" i="45"/>
  <c r="T15" i="68"/>
  <c r="V15" i="68" s="1"/>
  <c r="H47" i="45"/>
  <c r="AB47" i="45" s="1"/>
  <c r="AB28" i="45" s="1"/>
  <c r="AB46" i="45"/>
  <c r="R19" i="68" s="1"/>
  <c r="D47" i="45"/>
  <c r="D28" i="45" s="1"/>
  <c r="AC46" i="45"/>
  <c r="S19" i="68" s="1"/>
  <c r="D52" i="45" l="1"/>
  <c r="T19" i="68"/>
  <c r="V19" i="68" s="1"/>
  <c r="Y15" i="68"/>
  <c r="AA15" i="68" s="1"/>
  <c r="AD15" i="68"/>
  <c r="AF15" i="68" s="1"/>
  <c r="I28" i="45"/>
  <c r="AC47" i="45"/>
  <c r="AC28" i="45" s="1"/>
  <c r="I52" i="45"/>
  <c r="AC52" i="45" s="1"/>
  <c r="E28" i="45"/>
  <c r="S20" i="68"/>
  <c r="AC19" i="68"/>
  <c r="X19" i="68"/>
  <c r="R20" i="68"/>
  <c r="AB19" i="68"/>
  <c r="W19" i="68"/>
  <c r="T20" i="68"/>
  <c r="V20" i="68" s="1"/>
  <c r="H52" i="45"/>
  <c r="E33" i="45"/>
  <c r="G33" i="45" s="1"/>
  <c r="D33" i="45"/>
  <c r="H28" i="45"/>
  <c r="AD33" i="45" l="1"/>
  <c r="D38" i="108"/>
  <c r="F38" i="108" s="1"/>
  <c r="AD19" i="68"/>
  <c r="Y19" i="68"/>
  <c r="O12" i="4" s="1"/>
  <c r="I33" i="45"/>
  <c r="AC33" i="45" s="1"/>
  <c r="T36" i="31"/>
  <c r="T27" i="68"/>
  <c r="C38" i="96"/>
  <c r="D34" i="45"/>
  <c r="E34" i="45"/>
  <c r="G34" i="45" s="1"/>
  <c r="M12" i="4"/>
  <c r="M16" i="4" s="1"/>
  <c r="W20" i="68"/>
  <c r="X20" i="68"/>
  <c r="C12" i="106"/>
  <c r="N12" i="4"/>
  <c r="N16" i="4" s="1"/>
  <c r="T12" i="4"/>
  <c r="AB20" i="68"/>
  <c r="R12" i="4"/>
  <c r="R16" i="4" s="1"/>
  <c r="R18" i="4" s="1"/>
  <c r="S12" i="4"/>
  <c r="S16" i="4" s="1"/>
  <c r="S18" i="4" s="1"/>
  <c r="AC20" i="68"/>
  <c r="AB52" i="45"/>
  <c r="H33" i="45"/>
  <c r="R36" i="31"/>
  <c r="R27" i="68"/>
  <c r="R35" i="68" s="1"/>
  <c r="S36" i="31"/>
  <c r="S27" i="68"/>
  <c r="S35" i="68" s="1"/>
  <c r="O16" i="4" l="1"/>
  <c r="Q16" i="4" s="1"/>
  <c r="Q12" i="4"/>
  <c r="T16" i="4"/>
  <c r="V16" i="4" s="1"/>
  <c r="V12" i="4"/>
  <c r="AD34" i="45"/>
  <c r="AF33" i="45"/>
  <c r="T18" i="4"/>
  <c r="V18" i="4" s="1"/>
  <c r="AD20" i="68"/>
  <c r="AF20" i="68" s="1"/>
  <c r="AF19" i="68"/>
  <c r="L38" i="108"/>
  <c r="N38" i="108" s="1"/>
  <c r="D39" i="108"/>
  <c r="F39" i="108" s="1"/>
  <c r="Y20" i="68"/>
  <c r="AA19" i="68"/>
  <c r="T35" i="68"/>
  <c r="V35" i="68" s="1"/>
  <c r="V27" i="68"/>
  <c r="I34" i="45"/>
  <c r="I35" i="45" s="1"/>
  <c r="D38" i="96"/>
  <c r="H38" i="96" s="1"/>
  <c r="F22" i="82"/>
  <c r="F29" i="82" s="1"/>
  <c r="F31" i="82" s="1"/>
  <c r="I22" i="82"/>
  <c r="I29" i="82" s="1"/>
  <c r="I31" i="82" s="1"/>
  <c r="L22" i="82"/>
  <c r="L29" i="82" s="1"/>
  <c r="L31" i="82" s="1"/>
  <c r="D22" i="82"/>
  <c r="D29" i="82" s="1"/>
  <c r="D31" i="82" s="1"/>
  <c r="G22" i="82"/>
  <c r="G29" i="82" s="1"/>
  <c r="G31" i="82" s="1"/>
  <c r="J22" i="82"/>
  <c r="J29" i="82" s="1"/>
  <c r="J31" i="82" s="1"/>
  <c r="M22" i="82"/>
  <c r="M29" i="82" s="1"/>
  <c r="M31" i="82" s="1"/>
  <c r="AC27" i="68"/>
  <c r="AC35" i="68" s="1"/>
  <c r="AC36" i="31"/>
  <c r="K22" i="82"/>
  <c r="K29" i="82" s="1"/>
  <c r="K31" i="82" s="1"/>
  <c r="C22" i="82"/>
  <c r="H22" i="82"/>
  <c r="H29" i="82" s="1"/>
  <c r="H31" i="82" s="1"/>
  <c r="E22" i="82"/>
  <c r="E29" i="82" s="1"/>
  <c r="E31" i="82" s="1"/>
  <c r="N22" i="82"/>
  <c r="N29" i="82" s="1"/>
  <c r="N31" i="82" s="1"/>
  <c r="AB27" i="68"/>
  <c r="AB35" i="68" s="1"/>
  <c r="AB36" i="31"/>
  <c r="T46" i="31"/>
  <c r="V46" i="31" s="1"/>
  <c r="H34" i="45"/>
  <c r="AB33" i="45"/>
  <c r="C13" i="106"/>
  <c r="D12" i="106"/>
  <c r="W36" i="31"/>
  <c r="W27" i="68"/>
  <c r="E35" i="45"/>
  <c r="C26" i="96"/>
  <c r="C20" i="96"/>
  <c r="C22" i="96"/>
  <c r="C16" i="96"/>
  <c r="C28" i="96"/>
  <c r="C30" i="96"/>
  <c r="C24" i="96"/>
  <c r="C18" i="96"/>
  <c r="C14" i="96"/>
  <c r="C10" i="96"/>
  <c r="C32" i="96"/>
  <c r="C12" i="96"/>
  <c r="G21" i="4"/>
  <c r="X36" i="31"/>
  <c r="X27" i="68"/>
  <c r="D35" i="45"/>
  <c r="D33" i="68"/>
  <c r="S46" i="31"/>
  <c r="AC34" i="45" l="1"/>
  <c r="AD27" i="68"/>
  <c r="AD35" i="68" s="1"/>
  <c r="G35" i="45"/>
  <c r="AD35" i="45"/>
  <c r="AF35" i="45" s="1"/>
  <c r="AF34" i="45"/>
  <c r="D40" i="108"/>
  <c r="L39" i="108"/>
  <c r="N39" i="108" s="1"/>
  <c r="AC35" i="45"/>
  <c r="Y27" i="68"/>
  <c r="AA27" i="68" s="1"/>
  <c r="AA20" i="68"/>
  <c r="D26" i="96"/>
  <c r="H26" i="96" s="1"/>
  <c r="D12" i="96"/>
  <c r="H12" i="96" s="1"/>
  <c r="D16" i="96"/>
  <c r="H16" i="96" s="1"/>
  <c r="D20" i="96"/>
  <c r="H20" i="96" s="1"/>
  <c r="D14" i="96"/>
  <c r="H14" i="96" s="1"/>
  <c r="D24" i="96"/>
  <c r="H24" i="96" s="1"/>
  <c r="D22" i="96"/>
  <c r="H22" i="96" s="1"/>
  <c r="D28" i="96"/>
  <c r="H28" i="96" s="1"/>
  <c r="D32" i="96"/>
  <c r="H32" i="96" s="1"/>
  <c r="D10" i="96"/>
  <c r="H10" i="96" s="1"/>
  <c r="D30" i="96"/>
  <c r="H30" i="96" s="1"/>
  <c r="D18" i="96"/>
  <c r="H18" i="96" s="1"/>
  <c r="L36" i="91"/>
  <c r="C34" i="96"/>
  <c r="C8" i="96"/>
  <c r="D13" i="106"/>
  <c r="E12" i="106"/>
  <c r="R46" i="31"/>
  <c r="R47" i="31" s="1"/>
  <c r="R48" i="31" s="1"/>
  <c r="C33" i="68"/>
  <c r="T47" i="31"/>
  <c r="C29" i="82"/>
  <c r="C31" i="82" s="1"/>
  <c r="O22" i="82"/>
  <c r="D34" i="68"/>
  <c r="D35" i="68" s="1"/>
  <c r="C72" i="104"/>
  <c r="K72" i="104" s="1"/>
  <c r="X33" i="68"/>
  <c r="X46" i="31"/>
  <c r="S47" i="31"/>
  <c r="S48" i="31" s="1"/>
  <c r="C39" i="106"/>
  <c r="C18" i="106"/>
  <c r="C23" i="106" s="1"/>
  <c r="C51" i="106" s="1"/>
  <c r="AB34" i="45"/>
  <c r="H35" i="45"/>
  <c r="AB35" i="45" s="1"/>
  <c r="AF27" i="68" l="1"/>
  <c r="AF35" i="68"/>
  <c r="L40" i="108"/>
  <c r="F40" i="108"/>
  <c r="T48" i="31"/>
  <c r="V48" i="31" s="1"/>
  <c r="V47" i="31"/>
  <c r="D34" i="96"/>
  <c r="D43" i="96" s="1"/>
  <c r="D8" i="96"/>
  <c r="H8" i="96" s="1"/>
  <c r="X47" i="31"/>
  <c r="E28" i="91"/>
  <c r="E30" i="91" s="1"/>
  <c r="E33" i="91" s="1"/>
  <c r="E34" i="91" s="1"/>
  <c r="K26" i="91"/>
  <c r="K27" i="91" s="1"/>
  <c r="K29" i="91" s="1"/>
  <c r="K30" i="91" s="1"/>
  <c r="X34" i="68"/>
  <c r="E33" i="23"/>
  <c r="E34" i="23" s="1"/>
  <c r="E37" i="23" s="1"/>
  <c r="O29" i="82"/>
  <c r="O31" i="82" s="1"/>
  <c r="P22" i="82"/>
  <c r="E13" i="106"/>
  <c r="F12" i="106"/>
  <c r="F13" i="106" s="1"/>
  <c r="C73" i="104"/>
  <c r="K73" i="104" s="1"/>
  <c r="C34" i="68"/>
  <c r="C35" i="68" s="1"/>
  <c r="W33" i="68"/>
  <c r="D39" i="106"/>
  <c r="D18" i="106"/>
  <c r="D23" i="106" s="1"/>
  <c r="D51" i="106" s="1"/>
  <c r="C43" i="96"/>
  <c r="N40" i="108" l="1"/>
  <c r="H34" i="96"/>
  <c r="H43" i="96" s="1"/>
  <c r="E39" i="106"/>
  <c r="E18" i="106"/>
  <c r="E23" i="106" s="1"/>
  <c r="E51" i="106" s="1"/>
  <c r="F39" i="106"/>
  <c r="F18" i="106"/>
  <c r="F23" i="106" s="1"/>
  <c r="F51" i="106" s="1"/>
  <c r="D33" i="23"/>
  <c r="D34" i="23" s="1"/>
  <c r="D37" i="23" s="1"/>
  <c r="W34" i="68"/>
  <c r="C74" i="104"/>
  <c r="K74" i="104" s="1"/>
  <c r="N17" i="4"/>
  <c r="N18" i="4" s="1"/>
  <c r="X35" i="68"/>
  <c r="X48" i="31"/>
  <c r="C16" i="4"/>
  <c r="C17" i="4" s="1"/>
  <c r="E36" i="91" l="1"/>
  <c r="M17" i="4"/>
  <c r="M18" i="4" s="1"/>
  <c r="W35" i="68"/>
  <c r="K36" i="91"/>
  <c r="B21" i="4" l="1"/>
  <c r="M22" i="4"/>
  <c r="AD9" i="31"/>
  <c r="Y9" i="31"/>
  <c r="O17" i="87"/>
  <c r="O10" i="31"/>
  <c r="O35" i="31" s="1"/>
  <c r="O46" i="31" l="1"/>
  <c r="Q35" i="31"/>
  <c r="AD17" i="87"/>
  <c r="AF17" i="87" s="1"/>
  <c r="Q17" i="87"/>
  <c r="O36" i="31"/>
  <c r="D11" i="98"/>
  <c r="Q10" i="31"/>
  <c r="Y10" i="31"/>
  <c r="Y35" i="31" s="1"/>
  <c r="AA35" i="31" s="1"/>
  <c r="AA9" i="31"/>
  <c r="AD10" i="31"/>
  <c r="AF10" i="31" s="1"/>
  <c r="AF9" i="31"/>
  <c r="O47" i="31"/>
  <c r="Y46" i="31"/>
  <c r="AA46" i="31" s="1"/>
  <c r="E33" i="68"/>
  <c r="O18" i="87"/>
  <c r="Q18" i="87" s="1"/>
  <c r="Y17" i="87"/>
  <c r="AA17" i="87" s="1"/>
  <c r="AD35" i="31" l="1"/>
  <c r="AF35" i="31" s="1"/>
  <c r="L11" i="98"/>
  <c r="N11" i="98" s="1"/>
  <c r="F11" i="98"/>
  <c r="Y36" i="31"/>
  <c r="O48" i="31"/>
  <c r="Q48" i="31" s="1"/>
  <c r="Q47" i="31"/>
  <c r="D39" i="98"/>
  <c r="Q46" i="31"/>
  <c r="AD48" i="31"/>
  <c r="AF48" i="31" s="1"/>
  <c r="I8" i="4"/>
  <c r="AD36" i="31"/>
  <c r="D8" i="4"/>
  <c r="AA10" i="31"/>
  <c r="D72" i="104"/>
  <c r="F72" i="104" s="1"/>
  <c r="G33" i="68"/>
  <c r="Y47" i="31"/>
  <c r="E34" i="68"/>
  <c r="Y33" i="68"/>
  <c r="O19" i="87"/>
  <c r="AD18" i="87"/>
  <c r="Y18" i="87"/>
  <c r="F39" i="98" l="1"/>
  <c r="D40" i="98"/>
  <c r="L39" i="98"/>
  <c r="N39" i="98" s="1"/>
  <c r="O24" i="87"/>
  <c r="Q24" i="87" s="1"/>
  <c r="Q19" i="87"/>
  <c r="D73" i="104"/>
  <c r="F73" i="104" s="1"/>
  <c r="L72" i="104"/>
  <c r="N72" i="104" s="1"/>
  <c r="I15" i="4"/>
  <c r="K8" i="4"/>
  <c r="D15" i="4"/>
  <c r="F15" i="4" s="1"/>
  <c r="F8" i="4"/>
  <c r="Y34" i="68"/>
  <c r="AA34" i="68" s="1"/>
  <c r="AA33" i="68"/>
  <c r="Y48" i="31"/>
  <c r="AA47" i="31"/>
  <c r="E35" i="68"/>
  <c r="G35" i="68" s="1"/>
  <c r="G34" i="68"/>
  <c r="Y19" i="87"/>
  <c r="AA18" i="87"/>
  <c r="AD19" i="87"/>
  <c r="AF18" i="87"/>
  <c r="D16" i="4"/>
  <c r="F33" i="23"/>
  <c r="F40" i="98" l="1"/>
  <c r="D41" i="98"/>
  <c r="L40" i="98"/>
  <c r="N40" i="98" s="1"/>
  <c r="D74" i="104"/>
  <c r="F74" i="104" s="1"/>
  <c r="L73" i="104"/>
  <c r="N73" i="104" s="1"/>
  <c r="I17" i="4"/>
  <c r="K15" i="4"/>
  <c r="D17" i="4"/>
  <c r="F17" i="4" s="1"/>
  <c r="F16" i="4"/>
  <c r="AA48" i="31"/>
  <c r="F34" i="23"/>
  <c r="H33" i="23"/>
  <c r="AD24" i="87"/>
  <c r="AF24" i="87" s="1"/>
  <c r="AF19" i="87"/>
  <c r="Y24" i="87"/>
  <c r="AA24" i="87" s="1"/>
  <c r="AA19" i="87"/>
  <c r="Y35" i="68"/>
  <c r="AA35" i="68" s="1"/>
  <c r="O17" i="4"/>
  <c r="L41" i="98" l="1"/>
  <c r="F41" i="98"/>
  <c r="L74" i="104"/>
  <c r="K17" i="4"/>
  <c r="O18" i="4"/>
  <c r="Q18" i="4" s="1"/>
  <c r="Q17" i="4"/>
  <c r="F37" i="23"/>
  <c r="H37" i="23" s="1"/>
  <c r="H34" i="23"/>
  <c r="N74" i="104" l="1"/>
  <c r="N41" i="98"/>
  <c r="A2" i="92"/>
  <c r="A2" i="93" s="1"/>
  <c r="A2" i="38" s="1"/>
  <c r="A2" i="39" s="1"/>
  <c r="A2" i="41" s="1"/>
  <c r="A2" i="40" s="1"/>
  <c r="A2" i="88" l="1"/>
  <c r="A5" i="1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User1</author>
    <author>Felhasználó</author>
  </authors>
  <commentList>
    <comment ref="C27" authorId="0" shapeId="0" xr:uid="{00000000-0006-0000-0200-000001000000}">
      <text>
        <r>
          <rPr>
            <b/>
            <sz val="9"/>
            <color indexed="81"/>
            <rFont val="Tahoma"/>
            <family val="2"/>
            <charset val="238"/>
          </rPr>
          <t>User1:</t>
        </r>
        <r>
          <rPr>
            <sz val="11"/>
            <color indexed="81"/>
            <rFont val="Tahoma"/>
            <family val="2"/>
            <charset val="238"/>
          </rPr>
          <t xml:space="preserve">
Ingatlan eladás, részletfizetők 1.894.236,- (Szabó Lajos notorius nem fizető nélkül)
198/2015 Zarka Béla Arany János 1/a 2.em. 6   7.457.000,- eladás alatt, szerződéskötés
198/2015 Zarka Béla Arany János 1/a 2.em. 5   7.500.000,- eladás alatt, szerződéskötés
199/2015 Szent Erzsébet 170. 6.900.000,- pályázat ez még nincs beleadva
Dr Gyula és dr. Gyuláné 2780 eFt</t>
        </r>
      </text>
    </comment>
    <comment ref="D27" authorId="1" shapeId="0" xr:uid="{00000000-0006-0000-0200-000002000000}">
      <text>
        <r>
          <rPr>
            <b/>
            <sz val="8"/>
            <color indexed="81"/>
            <rFont val="Tahoma"/>
            <family val="2"/>
            <charset val="238"/>
          </rPr>
          <t xml:space="preserve">Felhasználó:
</t>
        </r>
        <r>
          <rPr>
            <sz val="8"/>
            <color indexed="81"/>
            <rFont val="Tahoma"/>
            <family val="2"/>
            <charset val="238"/>
          </rPr>
          <t>Ingatlan eladás, részletfizetők 979 e Ft (Szabó Lajos notorius nem fizető nélkül)
Ingatlan eladás:
Szondi u. 104. 7400 e Ft</t>
        </r>
      </text>
    </comment>
    <comment ref="C32" authorId="0" shapeId="0" xr:uid="{00000000-0006-0000-0200-000003000000}">
      <text>
        <r>
          <rPr>
            <b/>
            <sz val="9"/>
            <color indexed="81"/>
            <rFont val="Tahoma"/>
            <family val="2"/>
            <charset val="238"/>
          </rPr>
          <t>User1:</t>
        </r>
        <r>
          <rPr>
            <sz val="9"/>
            <color indexed="81"/>
            <rFont val="Tahoma"/>
            <family val="2"/>
            <charset val="238"/>
          </rPr>
          <t xml:space="preserve">
helyi támogatás hátralék nélkül</t>
        </r>
      </text>
    </comment>
    <comment ref="C33" authorId="0" shapeId="0" xr:uid="{00000000-0006-0000-0200-000004000000}">
      <text>
        <r>
          <rPr>
            <b/>
            <sz val="9"/>
            <color indexed="81"/>
            <rFont val="Tahoma"/>
            <family val="2"/>
            <charset val="238"/>
          </rPr>
          <t>User1:</t>
        </r>
        <r>
          <rPr>
            <sz val="9"/>
            <color indexed="81"/>
            <rFont val="Tahoma"/>
            <family val="2"/>
            <charset val="238"/>
          </rPr>
          <t xml:space="preserve">
Pilisvörösvári Víziközmű Társulat lakossági hozzájárulás átadása 05.31.</t>
        </r>
      </text>
    </comment>
    <comment ref="J42" authorId="1" shapeId="0" xr:uid="{00000000-0006-0000-0200-000005000000}">
      <text>
        <r>
          <rPr>
            <b/>
            <sz val="8"/>
            <color indexed="81"/>
            <rFont val="Tahoma"/>
            <family val="2"/>
            <charset val="238"/>
          </rPr>
          <t>Felhasználó:</t>
        </r>
        <r>
          <rPr>
            <sz val="8"/>
            <color indexed="81"/>
            <rFont val="Tahoma"/>
            <family val="2"/>
            <charset val="238"/>
          </rPr>
          <t xml:space="preserve">
2. Rmód/ pm 9. f. +950</t>
        </r>
      </text>
    </comment>
    <comment ref="C43" authorId="0" shapeId="0" xr:uid="{00000000-0006-0000-0200-000006000000}">
      <text>
        <r>
          <rPr>
            <b/>
            <sz val="9"/>
            <color indexed="81"/>
            <rFont val="Tahoma"/>
            <family val="2"/>
            <charset val="238"/>
          </rPr>
          <t>User1:</t>
        </r>
        <r>
          <rPr>
            <sz val="9"/>
            <color indexed="81"/>
            <rFont val="Tahoma"/>
            <family val="2"/>
            <charset val="238"/>
          </rPr>
          <t xml:space="preserve">
Fő utca felújítás folytatása a Hősök terétől a CBA-ig                 29.890 KIVESSZÜK (email István 02.01) 
Északi lakókörzet közvilágítás fejlesztése                                    7.739  KIVESSZÜK (email István 02.01), de a tervezés 889 Ft-ja marad 
                                                                                    a megkötött szerződés miatt, amit 2016-ban fizetni kell VISSZA 02.02
Nyár u., Csobánkai u. gyalogátkelőhely kivitelezés                    7.000 KIVESSZÜK (email István 02.01) VISSZA 02.02
Útépítés az új vasúti átjáróhoz (Ponty u., Amur u., Harcsa u.)   45.751 
Szikla utca útépítés                                                                  22.934
Szent János u.-tó u.-Tompa M. u. végének összekötése            11.064
Járda, parkoló építés: Solymári u. a Piactól a Rákóczi utcáig        3.500
Járda, parkoló építés: Rákóczi u. a Bányató utcáig                      9.000
Járda, parkoló építés: Piac tér és lépcső a Solymári utca felé, 
és Piac köz járda és lépcső építése                                             2.700   
Járda,  parkoló építés: Szt. Flórián u. eleje                                 2.400
Pilisvörösvár, Csobánkai u. 3. sz ingatlanrészek megvásárlása     2.175                     
Pilisvörösvár, Nagyváradi u. 22. sz alatti, ingatlan megvásárlása   5.100 KIVESSZÜK (email István 02.01) VISSZA 02.02
Sportpálya öltöző felújítás (PUFC pályázat keretében)                   560
Konyha fejlesztési pályázat                                                        25.038
Konyha fejlesztési pályázat       ÖNRÉSZ                                      8.346                                                  
Tó dűlő kisajátítása                                                                      3.000    NEM VESSZÜK IGÉNYBE_LEHET NEM KERÜL PÉNZBE - ISTVÁN
Solymár-Pilisszentiván-Pilisvörösvár összekötő út </t>
        </r>
        <r>
          <rPr>
            <b/>
            <sz val="9"/>
            <color indexed="81"/>
            <rFont val="Tahoma"/>
            <family val="2"/>
            <charset val="238"/>
          </rPr>
          <t>terv                     420</t>
        </r>
        <r>
          <rPr>
            <sz val="9"/>
            <color indexed="81"/>
            <rFont val="Tahoma"/>
            <family val="2"/>
            <charset val="238"/>
          </rPr>
          <t xml:space="preserve">
Család- és gyermekjóléti Központ                                                 2.000
Kártérítés Uniqua körforgalom kidőlt oszlop                                       190
Templom téri koncepcióterv                                                               859
</t>
        </r>
        <r>
          <rPr>
            <b/>
            <sz val="9"/>
            <color indexed="81"/>
            <rFont val="Tahoma"/>
            <family val="2"/>
            <charset val="238"/>
          </rPr>
          <t>Terv</t>
        </r>
        <r>
          <rPr>
            <sz val="9"/>
            <color indexed="81"/>
            <rFont val="Tahoma"/>
            <family val="2"/>
            <charset val="238"/>
          </rPr>
          <t xml:space="preserve">: 62/2015(IV.30) 10-es Főút Útőrház utcai gyalogátkelő                              </t>
        </r>
        <r>
          <rPr>
            <b/>
            <sz val="9"/>
            <color indexed="81"/>
            <rFont val="Tahoma"/>
            <family val="2"/>
            <charset val="238"/>
          </rPr>
          <t xml:space="preserve">   1.207</t>
        </r>
        <r>
          <rPr>
            <sz val="9"/>
            <color indexed="81"/>
            <rFont val="Tahoma"/>
            <family val="2"/>
            <charset val="238"/>
          </rPr>
          <t xml:space="preserve">
Terv:150/2015(IX.3) a járdák és parkolók tervezésére (Szabadság utca elején a Vásár téri iskolától a Friedrich Schiller Gimnázium végéig, Csendbiztos utca és a Pacsirta utca közötti szakaszon, Ady Endre utcától a Bányakápolna utcáig)                    </t>
        </r>
        <r>
          <rPr>
            <b/>
            <sz val="9"/>
            <color indexed="81"/>
            <rFont val="Tahoma"/>
            <family val="2"/>
            <charset val="238"/>
          </rPr>
          <t>3.112 eFt</t>
        </r>
        <r>
          <rPr>
            <sz val="9"/>
            <color indexed="81"/>
            <rFont val="Tahoma"/>
            <family val="2"/>
            <charset val="238"/>
          </rPr>
          <t xml:space="preserve">
161/2015. (X.01) Fő út 122. engedélyezési terv</t>
        </r>
        <r>
          <rPr>
            <b/>
            <sz val="9"/>
            <color indexed="81"/>
            <rFont val="Tahoma"/>
            <family val="2"/>
            <charset val="238"/>
          </rPr>
          <t xml:space="preserve"> 343 eF</t>
        </r>
        <r>
          <rPr>
            <sz val="9"/>
            <color indexed="81"/>
            <rFont val="Tahoma"/>
            <family val="2"/>
            <charset val="238"/>
          </rPr>
          <t xml:space="preserve">t
179/2015(XI.26) Főzőkonyha bővítés tervei                                         </t>
        </r>
        <r>
          <rPr>
            <b/>
            <sz val="9"/>
            <color indexed="81"/>
            <rFont val="Tahoma"/>
            <family val="2"/>
            <charset val="238"/>
          </rPr>
          <t xml:space="preserve">  1.700 eFt</t>
        </r>
        <r>
          <rPr>
            <sz val="9"/>
            <color indexed="81"/>
            <rFont val="Tahoma"/>
            <family val="2"/>
            <charset val="238"/>
          </rPr>
          <t xml:space="preserve">
A 15 mFt-os 2015-ös maradvány tervekre: 10.338
jóteljesítési garanciák                                                                   2.740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Felhasználó</author>
  </authors>
  <commentList>
    <comment ref="L58" authorId="0" shapeId="0" xr:uid="{00000000-0006-0000-0600-000001000000}">
      <text>
        <r>
          <rPr>
            <b/>
            <sz val="8"/>
            <color indexed="81"/>
            <rFont val="Tahoma"/>
            <family val="2"/>
            <charset val="238"/>
          </rPr>
          <t>Felhasználó:</t>
        </r>
        <r>
          <rPr>
            <sz val="8"/>
            <color indexed="81"/>
            <rFont val="Tahoma"/>
            <family val="2"/>
            <charset val="238"/>
          </rPr>
          <t xml:space="preserve">
2. Rmód/ -5850 , mert nem vállalkozási tevékenység a beruházási rovaton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Felhasználó</author>
    <author>User1</author>
    <author>felhasznalo</author>
    <author>Felhasznalo</author>
  </authors>
  <commentList>
    <comment ref="E8" authorId="0" shapeId="0" xr:uid="{00000000-0006-0000-1300-000001000000}">
      <text>
        <r>
          <rPr>
            <b/>
            <sz val="8"/>
            <color indexed="81"/>
            <rFont val="Tahoma"/>
            <family val="2"/>
            <charset val="238"/>
          </rPr>
          <t>Felhasználó:</t>
        </r>
        <r>
          <rPr>
            <sz val="8"/>
            <color indexed="81"/>
            <rFont val="Tahoma"/>
            <family val="2"/>
            <charset val="238"/>
          </rPr>
          <t xml:space="preserve">
Fogarassy: 500
Városismertető kiadvány: 300</t>
        </r>
      </text>
    </comment>
    <comment ref="J9" authorId="0" shapeId="0" xr:uid="{00000000-0006-0000-1300-000002000000}">
      <text>
        <r>
          <rPr>
            <b/>
            <sz val="8"/>
            <color indexed="81"/>
            <rFont val="Tahoma"/>
            <family val="2"/>
            <charset val="238"/>
          </rPr>
          <t>Felhasználó:</t>
        </r>
        <r>
          <rPr>
            <sz val="8"/>
            <color indexed="81"/>
            <rFont val="Tahoma"/>
            <family val="2"/>
            <charset val="238"/>
          </rPr>
          <t xml:space="preserve">
4. Rmód/ e.i. átvez. 24.f. +10</t>
        </r>
      </text>
    </comment>
    <comment ref="H10" authorId="1" shapeId="0" xr:uid="{00000000-0006-0000-1300-000003000000}">
      <text>
        <r>
          <rPr>
            <b/>
            <sz val="9"/>
            <color indexed="81"/>
            <rFont val="Tahoma"/>
            <family val="2"/>
            <charset val="238"/>
          </rPr>
          <t>User1:</t>
        </r>
        <r>
          <rPr>
            <sz val="9"/>
            <color indexed="81"/>
            <rFont val="Tahoma"/>
            <family val="2"/>
            <charset val="238"/>
          </rPr>
          <t xml:space="preserve">
DM Sone</t>
        </r>
      </text>
    </comment>
    <comment ref="H13" authorId="0" shapeId="0" xr:uid="{00000000-0006-0000-1300-000004000000}">
      <text>
        <r>
          <rPr>
            <b/>
            <sz val="8"/>
            <color indexed="81"/>
            <rFont val="Tahoma"/>
            <family val="2"/>
            <charset val="238"/>
          </rPr>
          <t>Felhasználó:</t>
        </r>
        <r>
          <rPr>
            <sz val="8"/>
            <color indexed="81"/>
            <rFont val="Tahoma"/>
            <family val="2"/>
            <charset val="238"/>
          </rPr>
          <t xml:space="preserve">
Teljesítés: br.2456</t>
        </r>
      </text>
    </comment>
    <comment ref="J13" authorId="0" shapeId="0" xr:uid="{00000000-0006-0000-1300-000005000000}">
      <text>
        <r>
          <rPr>
            <b/>
            <sz val="8"/>
            <color indexed="81"/>
            <rFont val="Tahoma"/>
            <family val="2"/>
            <charset val="238"/>
          </rPr>
          <t>Felhasználó:</t>
        </r>
        <r>
          <rPr>
            <sz val="8"/>
            <color indexed="81"/>
            <rFont val="Tahoma"/>
            <family val="2"/>
            <charset val="238"/>
          </rPr>
          <t xml:space="preserve">
4. Rmód/ e.i. átvez. 24.f. -10
4. Rmód/ e.i. átcsop. 33. f. -25
4. Rmód/ e.i. átcsop. 33. f. -55
4. Rmód/ e.i. átcsop. 33. f. -263-268</t>
        </r>
      </text>
    </comment>
    <comment ref="G14" authorId="2" shapeId="0" xr:uid="{00000000-0006-0000-1300-000006000000}">
      <text>
        <r>
          <rPr>
            <b/>
            <sz val="9"/>
            <color indexed="81"/>
            <rFont val="Tahoma"/>
            <family val="2"/>
            <charset val="238"/>
          </rPr>
          <t>felhasznalo:</t>
        </r>
        <r>
          <rPr>
            <sz val="9"/>
            <color indexed="81"/>
            <rFont val="Tahoma"/>
            <family val="2"/>
            <charset val="238"/>
          </rPr>
          <t xml:space="preserve">
4. Rmód/ e.i. átcsop. 40. f. +45</t>
        </r>
      </text>
    </comment>
    <comment ref="H14" authorId="0" shapeId="0" xr:uid="{00000000-0006-0000-1300-000007000000}">
      <text>
        <r>
          <rPr>
            <b/>
            <sz val="8"/>
            <color indexed="81"/>
            <rFont val="Tahoma"/>
            <family val="2"/>
            <charset val="238"/>
          </rPr>
          <t>Felhasználó:</t>
        </r>
        <r>
          <rPr>
            <sz val="8"/>
            <color indexed="81"/>
            <rFont val="Tahoma"/>
            <family val="2"/>
            <charset val="238"/>
          </rPr>
          <t xml:space="preserve">
Teljesítés br. 2394
új polgi autó: +360 eFt üzemanyag
</t>
        </r>
      </text>
    </comment>
    <comment ref="H15" authorId="0" shapeId="0" xr:uid="{00000000-0006-0000-1300-000008000000}">
      <text>
        <r>
          <rPr>
            <b/>
            <sz val="8"/>
            <color indexed="81"/>
            <rFont val="Tahoma"/>
            <family val="2"/>
            <charset val="238"/>
          </rPr>
          <t>Felhasználó:</t>
        </r>
        <r>
          <rPr>
            <sz val="8"/>
            <color indexed="81"/>
            <rFont val="Tahoma"/>
            <family val="2"/>
            <charset val="238"/>
          </rPr>
          <t xml:space="preserve">
Teljesítés br. 144
védőszemüveg személyiben</t>
        </r>
      </text>
    </comment>
    <comment ref="G17" authorId="0" shapeId="0" xr:uid="{00000000-0006-0000-1300-000009000000}">
      <text>
        <r>
          <rPr>
            <b/>
            <sz val="8"/>
            <color indexed="81"/>
            <rFont val="Tahoma"/>
            <family val="2"/>
            <charset val="238"/>
          </rPr>
          <t>Felhasználó:</t>
        </r>
        <r>
          <rPr>
            <sz val="8"/>
            <color indexed="81"/>
            <rFont val="Tahoma"/>
            <family val="2"/>
            <charset val="238"/>
          </rPr>
          <t xml:space="preserve">
1. Rmód/ előirányzat átvezetés (5.f.) -35
2. Rmód/ e.i. átvez. 10. f. -127-34
4.Rmód/ e.i. átvez. 34. f. -4
4. Rmód/ e.i. átcsop. 38. f. +119+32</t>
        </r>
      </text>
    </comment>
    <comment ref="H17" authorId="1" shapeId="0" xr:uid="{00000000-0006-0000-1300-00000A000000}">
      <text>
        <r>
          <rPr>
            <b/>
            <sz val="9"/>
            <color indexed="81"/>
            <rFont val="Tahoma"/>
            <family val="2"/>
            <charset val="238"/>
          </rPr>
          <t>User1:</t>
        </r>
        <r>
          <rPr>
            <sz val="9"/>
            <color indexed="81"/>
            <rFont val="Tahoma"/>
            <family val="2"/>
            <charset val="238"/>
          </rPr>
          <t xml:space="preserve">
2015. telj:2.005 eFt
levonni: 2015 osztályigények kb 400 eFt
2016 igények: 100 eFt
éphat: 92.000,-
gazdálkodás: 0
Igazgatás: 5.000,-
</t>
        </r>
      </text>
    </comment>
    <comment ref="J17" authorId="0" shapeId="0" xr:uid="{00000000-0006-0000-1300-00000B000000}">
      <text>
        <r>
          <rPr>
            <b/>
            <sz val="8"/>
            <color indexed="81"/>
            <rFont val="Tahoma"/>
            <family val="2"/>
            <charset val="238"/>
          </rPr>
          <t>Felhasználó:</t>
        </r>
        <r>
          <rPr>
            <sz val="8"/>
            <color indexed="81"/>
            <rFont val="Tahoma"/>
            <family val="2"/>
            <charset val="238"/>
          </rPr>
          <t xml:space="preserve">
2. Rmód/ Műszaki osztályigény előirányzat átvez. 7. f. -30-8
2. Rmód/gőztisztító előirányzat átvezetés 7.f. -24-6
2. Rmód/ e.i. átvez. 11 .f. -16-4
3. Rmód/ e.i. átcsop. -18 .f. -350
3. Rmód/ e.i. átcsop. 22. f. -67-18-117-61-17
4. Rmód/ e.i. átvez. 23.f. -60
4. Rmód/ e.i. átvez. 23.f. -67</t>
        </r>
      </text>
    </comment>
    <comment ref="G18" authorId="0" shapeId="0" xr:uid="{00000000-0006-0000-1300-00000C000000}">
      <text>
        <r>
          <rPr>
            <b/>
            <sz val="8"/>
            <color indexed="81"/>
            <rFont val="Tahoma"/>
            <family val="2"/>
            <charset val="238"/>
          </rPr>
          <t>Felhasználó:</t>
        </r>
        <r>
          <rPr>
            <sz val="8"/>
            <color indexed="81"/>
            <rFont val="Tahoma"/>
            <family val="2"/>
            <charset val="238"/>
          </rPr>
          <t xml:space="preserve">
2. Rmód/ e.i. átvez. +127+34</t>
        </r>
      </text>
    </comment>
    <comment ref="H20" authorId="0" shapeId="0" xr:uid="{00000000-0006-0000-1300-00000D000000}">
      <text>
        <r>
          <rPr>
            <b/>
            <sz val="8"/>
            <color indexed="81"/>
            <rFont val="Tahoma"/>
            <family val="2"/>
            <charset val="238"/>
          </rPr>
          <t>Felhasználó:</t>
        </r>
        <r>
          <rPr>
            <sz val="8"/>
            <color indexed="81"/>
            <rFont val="Tahoma"/>
            <family val="2"/>
            <charset val="238"/>
          </rPr>
          <t xml:space="preserve">
Zorax: 192
Saldo jogkövetés: 320
Saldo távfelügyelet: 305
Jogtár (Wolters Kluwer): 532
Eközig: 193
Kommunáldata: 82
E-Szoftverfejlesztő Kft.:120</t>
        </r>
      </text>
    </comment>
    <comment ref="E21" authorId="0" shapeId="0" xr:uid="{00000000-0006-0000-1300-00000E000000}">
      <text>
        <r>
          <rPr>
            <b/>
            <sz val="8"/>
            <color indexed="81"/>
            <rFont val="Tahoma"/>
            <family val="2"/>
            <charset val="238"/>
          </rPr>
          <t>Felhasználó:</t>
        </r>
        <r>
          <rPr>
            <sz val="8"/>
            <color indexed="81"/>
            <rFont val="Tahoma"/>
            <family val="2"/>
            <charset val="238"/>
          </rPr>
          <t xml:space="preserve">
Schuck Béla: 600 e Ft</t>
        </r>
      </text>
    </comment>
    <comment ref="G21" authorId="0" shapeId="0" xr:uid="{00000000-0006-0000-1300-00000F000000}">
      <text>
        <r>
          <rPr>
            <b/>
            <sz val="8"/>
            <color indexed="81"/>
            <rFont val="Tahoma"/>
            <family val="2"/>
            <charset val="238"/>
          </rPr>
          <t>Felhasználó:</t>
        </r>
        <r>
          <rPr>
            <sz val="8"/>
            <color indexed="81"/>
            <rFont val="Tahoma"/>
            <family val="2"/>
            <charset val="238"/>
          </rPr>
          <t xml:space="preserve">
3. Rmód/ e.i. átcsop. 26. f. +63
4. Rmód/ e.i. átvez. 34. f. +100
4. Rmód/ e.i. átcsop. 40. f. +13</t>
        </r>
      </text>
    </comment>
    <comment ref="H21" authorId="0" shapeId="0" xr:uid="{00000000-0006-0000-1300-000010000000}">
      <text>
        <r>
          <rPr>
            <b/>
            <sz val="8"/>
            <color indexed="81"/>
            <rFont val="Tahoma"/>
            <family val="2"/>
            <charset val="238"/>
          </rPr>
          <t>Felhasználó:</t>
        </r>
        <r>
          <rPr>
            <sz val="8"/>
            <color indexed="81"/>
            <rFont val="Tahoma"/>
            <family val="2"/>
            <charset val="238"/>
          </rPr>
          <t xml:space="preserve">
Zerris: 91
Abacus: 198
Boti: 5900
tartalék 111</t>
        </r>
      </text>
    </comment>
    <comment ref="J21" authorId="0" shapeId="0" xr:uid="{00000000-0006-0000-1300-000011000000}">
      <text>
        <r>
          <rPr>
            <b/>
            <sz val="8"/>
            <color indexed="81"/>
            <rFont val="Tahoma"/>
            <family val="2"/>
            <charset val="238"/>
          </rPr>
          <t>Felhasználó:</t>
        </r>
        <r>
          <rPr>
            <sz val="8"/>
            <color indexed="81"/>
            <rFont val="Tahoma"/>
            <family val="2"/>
            <charset val="238"/>
          </rPr>
          <t xml:space="preserve">
2. Rmód/ pm 9. f. +40+11
2. Rmód/ pm 9. f. +20+5
</t>
        </r>
      </text>
    </comment>
    <comment ref="E22" authorId="0" shapeId="0" xr:uid="{00000000-0006-0000-1300-000012000000}">
      <text>
        <r>
          <rPr>
            <b/>
            <sz val="8"/>
            <color indexed="81"/>
            <rFont val="Tahoma"/>
            <family val="2"/>
            <charset val="238"/>
          </rPr>
          <t>Felhasználó:</t>
        </r>
        <r>
          <rPr>
            <sz val="8"/>
            <color indexed="81"/>
            <rFont val="Tahoma"/>
            <family val="2"/>
            <charset val="238"/>
          </rPr>
          <t xml:space="preserve">
Teljesítés: 573</t>
        </r>
      </text>
    </comment>
    <comment ref="G22" authorId="2" shapeId="0" xr:uid="{00000000-0006-0000-1300-000013000000}">
      <text>
        <r>
          <rPr>
            <b/>
            <sz val="9"/>
            <color indexed="81"/>
            <rFont val="Tahoma"/>
            <family val="2"/>
            <charset val="238"/>
          </rPr>
          <t>felhasznalo:</t>
        </r>
        <r>
          <rPr>
            <sz val="9"/>
            <color indexed="81"/>
            <rFont val="Tahoma"/>
            <family val="2"/>
            <charset val="238"/>
          </rPr>
          <t xml:space="preserve">
4. Rmód/ e.i. átcsop. 40. f. -56-41</t>
        </r>
      </text>
    </comment>
    <comment ref="H22" authorId="0" shapeId="0" xr:uid="{00000000-0006-0000-1300-000014000000}">
      <text>
        <r>
          <rPr>
            <b/>
            <sz val="8"/>
            <color indexed="81"/>
            <rFont val="Tahoma"/>
            <family val="2"/>
            <charset val="238"/>
          </rPr>
          <t>Felhasználó:</t>
        </r>
        <r>
          <rPr>
            <sz val="8"/>
            <color indexed="81"/>
            <rFont val="Tahoma"/>
            <family val="2"/>
            <charset val="238"/>
          </rPr>
          <t xml:space="preserve">
3C: 400
T System:1400
Teljesítés: br. 1300</t>
        </r>
      </text>
    </comment>
    <comment ref="H25" authorId="0" shapeId="0" xr:uid="{00000000-0006-0000-1300-000015000000}">
      <text>
        <r>
          <rPr>
            <b/>
            <sz val="8"/>
            <color indexed="81"/>
            <rFont val="Tahoma"/>
            <family val="2"/>
            <charset val="238"/>
          </rPr>
          <t>Felhasználó:</t>
        </r>
        <r>
          <rPr>
            <sz val="8"/>
            <color indexed="81"/>
            <rFont val="Tahoma"/>
            <family val="2"/>
            <charset val="238"/>
          </rPr>
          <t xml:space="preserve">
Teljesítés alapján 1 808
</t>
        </r>
      </text>
    </comment>
    <comment ref="H26" authorId="0" shapeId="0" xr:uid="{00000000-0006-0000-1300-000016000000}">
      <text>
        <r>
          <rPr>
            <b/>
            <sz val="8"/>
            <color indexed="81"/>
            <rFont val="Tahoma"/>
            <family val="2"/>
            <charset val="238"/>
          </rPr>
          <t>Felhasználó:</t>
        </r>
        <r>
          <rPr>
            <sz val="8"/>
            <color indexed="81"/>
            <rFont val="Tahoma"/>
            <family val="2"/>
            <charset val="238"/>
          </rPr>
          <t xml:space="preserve">
Teljesítés: 2454</t>
        </r>
      </text>
    </comment>
    <comment ref="J26" authorId="0" shapeId="0" xr:uid="{00000000-0006-0000-1300-000017000000}">
      <text>
        <r>
          <rPr>
            <b/>
            <sz val="8"/>
            <color indexed="81"/>
            <rFont val="Tahoma"/>
            <family val="2"/>
            <charset val="238"/>
          </rPr>
          <t>Felhasználó:</t>
        </r>
        <r>
          <rPr>
            <sz val="8"/>
            <color indexed="81"/>
            <rFont val="Tahoma"/>
            <family val="2"/>
            <charset val="238"/>
          </rPr>
          <t xml:space="preserve">
3. Rmód/ gázenergia 16. f. +970
3. Rmód/ e.i. átcsop. -18 .f. +250
4. Rmód/ e.i. átvez. 24.f. +400</t>
        </r>
      </text>
    </comment>
    <comment ref="H27" authorId="0" shapeId="0" xr:uid="{00000000-0006-0000-1300-000018000000}">
      <text>
        <r>
          <rPr>
            <b/>
            <sz val="8"/>
            <color indexed="81"/>
            <rFont val="Tahoma"/>
            <family val="2"/>
            <charset val="238"/>
          </rPr>
          <t>Felhasználó:</t>
        </r>
        <r>
          <rPr>
            <sz val="8"/>
            <color indexed="81"/>
            <rFont val="Tahoma"/>
            <family val="2"/>
            <charset val="238"/>
          </rPr>
          <t xml:space="preserve">
Teljesítés alapján 908</t>
        </r>
      </text>
    </comment>
    <comment ref="E28" authorId="0" shapeId="0" xr:uid="{00000000-0006-0000-1300-000019000000}">
      <text>
        <r>
          <rPr>
            <b/>
            <sz val="8"/>
            <color indexed="81"/>
            <rFont val="Tahoma"/>
            <family val="2"/>
            <charset val="238"/>
          </rPr>
          <t>Felhasználó:</t>
        </r>
        <r>
          <rPr>
            <sz val="8"/>
            <color indexed="81"/>
            <rFont val="Tahoma"/>
            <family val="2"/>
            <charset val="238"/>
          </rPr>
          <t xml:space="preserve">
Teljesítés: 400 e Ft
osztályigényekből
kazán 1.000</t>
        </r>
      </text>
    </comment>
    <comment ref="G28" authorId="0" shapeId="0" xr:uid="{00000000-0006-0000-1300-00001A000000}">
      <text>
        <r>
          <rPr>
            <b/>
            <sz val="8"/>
            <color indexed="81"/>
            <rFont val="Tahoma"/>
            <family val="2"/>
            <charset val="238"/>
          </rPr>
          <t>Felhasználó:</t>
        </r>
        <r>
          <rPr>
            <sz val="8"/>
            <color indexed="81"/>
            <rFont val="Tahoma"/>
            <family val="2"/>
            <charset val="238"/>
          </rPr>
          <t xml:space="preserve">
3. Rmód/ e.i. átcsop. 26. f. -63
4. Rmód/ e.i. átvez. 35. f. -267
4. Rmód/ e.i. átcsop. 38. f. -119-32
4. Rmód/ e.i. átcsop. 40. f. -224</t>
        </r>
      </text>
    </comment>
    <comment ref="H28" authorId="0" shapeId="0" xr:uid="{00000000-0006-0000-1300-00001B000000}">
      <text>
        <r>
          <rPr>
            <b/>
            <sz val="8"/>
            <color indexed="81"/>
            <rFont val="Tahoma"/>
            <family val="2"/>
            <charset val="238"/>
          </rPr>
          <t>Felhasználó:</t>
        </r>
        <r>
          <rPr>
            <sz val="8"/>
            <color indexed="81"/>
            <rFont val="Tahoma"/>
            <family val="2"/>
            <charset val="238"/>
          </rPr>
          <t xml:space="preserve">
Fénymásoló karb.: kb. 2000/év
Teljesítés: br. 2891
több autó lesz</t>
        </r>
      </text>
    </comment>
    <comment ref="J28" authorId="0" shapeId="0" xr:uid="{00000000-0006-0000-1300-00001C000000}">
      <text>
        <r>
          <rPr>
            <b/>
            <sz val="8"/>
            <color indexed="81"/>
            <rFont val="Tahoma"/>
            <family val="2"/>
            <charset val="238"/>
          </rPr>
          <t>Felhasználó:</t>
        </r>
        <r>
          <rPr>
            <sz val="8"/>
            <color indexed="81"/>
            <rFont val="Tahoma"/>
            <family val="2"/>
            <charset val="238"/>
          </rPr>
          <t xml:space="preserve">
1. Rmód/ 22-5/2017. Klíma karbantartás +564+152
4. Rmód/ e.i. átvez. 24.f. -10</t>
        </r>
      </text>
    </comment>
    <comment ref="E29" authorId="0" shapeId="0" xr:uid="{00000000-0006-0000-1300-00001D000000}">
      <text>
        <r>
          <rPr>
            <b/>
            <sz val="8"/>
            <color indexed="81"/>
            <rFont val="Tahoma"/>
            <family val="2"/>
            <charset val="238"/>
          </rPr>
          <t>Felhasználó:</t>
        </r>
        <r>
          <rPr>
            <sz val="8"/>
            <color indexed="81"/>
            <rFont val="Tahoma"/>
            <family val="2"/>
            <charset val="238"/>
          </rPr>
          <t xml:space="preserve">
PMKH közüzemi költség átalány: 200
Teljesítés: 1038:
AHB: telefon 260*1,27=330
AHK: telfon, áram: 560*1,27=711</t>
        </r>
      </text>
    </comment>
    <comment ref="G29" authorId="0" shapeId="0" xr:uid="{00000000-0006-0000-1300-00001E000000}">
      <text>
        <r>
          <rPr>
            <b/>
            <sz val="8"/>
            <color indexed="81"/>
            <rFont val="Tahoma"/>
            <family val="2"/>
            <charset val="238"/>
          </rPr>
          <t>Felhasználó:</t>
        </r>
        <r>
          <rPr>
            <sz val="8"/>
            <color indexed="81"/>
            <rFont val="Tahoma"/>
            <family val="2"/>
            <charset val="238"/>
          </rPr>
          <t xml:space="preserve">
3. Rmód/ e.i. átcsop. 26. f. +298 
4. Rmód/ e.i. átcsop. 40. f. +171
4. Rmód/ e.i. átcsop. 41. f. -32</t>
        </r>
      </text>
    </comment>
    <comment ref="H29" authorId="0" shapeId="0" xr:uid="{00000000-0006-0000-1300-00001F000000}">
      <text>
        <r>
          <rPr>
            <b/>
            <sz val="8"/>
            <color indexed="81"/>
            <rFont val="Tahoma"/>
            <family val="2"/>
            <charset val="238"/>
          </rPr>
          <t>Felhasználó:</t>
        </r>
        <r>
          <rPr>
            <sz val="8"/>
            <color indexed="81"/>
            <rFont val="Tahoma"/>
            <family val="2"/>
            <charset val="238"/>
          </rPr>
          <t xml:space="preserve">
Teljesítés. Br. 1104</t>
        </r>
      </text>
    </comment>
    <comment ref="E30" authorId="0" shapeId="0" xr:uid="{00000000-0006-0000-1300-000020000000}">
      <text>
        <r>
          <rPr>
            <b/>
            <sz val="8"/>
            <color indexed="81"/>
            <rFont val="Tahoma"/>
            <family val="2"/>
            <charset val="238"/>
          </rPr>
          <t>Felhasználó:</t>
        </r>
        <r>
          <rPr>
            <sz val="8"/>
            <color indexed="81"/>
            <rFont val="Tahoma"/>
            <family val="2"/>
            <charset val="238"/>
          </rPr>
          <t xml:space="preserve">
Teljesítés: 1500
Beruházási listán a terveztetések a 15.000 eFt-os </t>
        </r>
        <r>
          <rPr>
            <b/>
            <sz val="8"/>
            <color indexed="81"/>
            <rFont val="Tahoma"/>
            <family val="2"/>
            <charset val="238"/>
          </rPr>
          <t>2015. maradványából</t>
        </r>
        <r>
          <rPr>
            <sz val="8"/>
            <color indexed="81"/>
            <rFont val="Tahoma"/>
            <family val="2"/>
            <charset val="238"/>
          </rPr>
          <t xml:space="preserve">:
62/2015(IV.30.) 10-es Főút útőrház gyalogátkelő </t>
        </r>
        <r>
          <rPr>
            <b/>
            <sz val="8"/>
            <color indexed="81"/>
            <rFont val="Tahoma"/>
            <family val="2"/>
            <charset val="238"/>
          </rPr>
          <t>1.207</t>
        </r>
        <r>
          <rPr>
            <sz val="8"/>
            <color indexed="81"/>
            <rFont val="Tahoma"/>
            <family val="2"/>
            <charset val="238"/>
          </rPr>
          <t xml:space="preserve"> eFt
150/2015(IX.3) a járdák és parkolók tervezésére (Szabadság utca elején a Vásár téri iskolától a Friedrich Schiller Gimnázium végéig, Csendbiztos utca és a Pacsirta utca közötti szakaszon, Ady Endre utcától a Bányakápolna utcáig)           Fő u. II.         </t>
        </r>
        <r>
          <rPr>
            <b/>
            <sz val="8"/>
            <color indexed="81"/>
            <rFont val="Tahoma"/>
            <family val="2"/>
            <charset val="238"/>
          </rPr>
          <t>3.112</t>
        </r>
        <r>
          <rPr>
            <sz val="8"/>
            <color indexed="81"/>
            <rFont val="Tahoma"/>
            <family val="2"/>
            <charset val="238"/>
          </rPr>
          <t xml:space="preserve"> eFt
161/2015. (X.01) Fő út 122. engedélyezési terv </t>
        </r>
        <r>
          <rPr>
            <b/>
            <sz val="8"/>
            <color indexed="81"/>
            <rFont val="Tahoma"/>
            <family val="2"/>
            <charset val="238"/>
          </rPr>
          <t>343</t>
        </r>
        <r>
          <rPr>
            <sz val="8"/>
            <color indexed="81"/>
            <rFont val="Tahoma"/>
            <family val="2"/>
            <charset val="238"/>
          </rPr>
          <t xml:space="preserve"> eFt
2016/(54) 50. Útépítés: Solymár-Szentiván-Vörösvár 330+áfa =</t>
        </r>
        <r>
          <rPr>
            <b/>
            <sz val="8"/>
            <color indexed="81"/>
            <rFont val="Tahoma"/>
            <family val="2"/>
            <charset val="238"/>
          </rPr>
          <t>420</t>
        </r>
        <r>
          <rPr>
            <sz val="8"/>
            <color indexed="81"/>
            <rFont val="Tahoma"/>
            <family val="2"/>
            <charset val="238"/>
          </rPr>
          <t xml:space="preserve"> tervre
A 15 mFt-os 2015-ös maradvány: </t>
        </r>
        <r>
          <rPr>
            <b/>
            <sz val="8"/>
            <color indexed="81"/>
            <rFont val="Tahoma"/>
            <family val="2"/>
            <charset val="238"/>
          </rPr>
          <t>9.918
Egyéb 2015-ös maradvány:</t>
        </r>
        <r>
          <rPr>
            <sz val="8"/>
            <color indexed="81"/>
            <rFont val="Tahoma"/>
            <family val="2"/>
            <charset val="238"/>
          </rPr>
          <t xml:space="preserve">
2016/(29) 33. Északi lakókörz. Közvilágítás fejlesztés új tervek </t>
        </r>
        <r>
          <rPr>
            <b/>
            <sz val="8"/>
            <color indexed="81"/>
            <rFont val="Tahoma"/>
            <family val="2"/>
            <charset val="238"/>
          </rPr>
          <t xml:space="preserve">889 </t>
        </r>
        <r>
          <rPr>
            <sz val="8"/>
            <color indexed="81"/>
            <rFont val="Tahoma"/>
            <family val="2"/>
            <charset val="238"/>
          </rPr>
          <t xml:space="preserve">e Ft
179/2015(XI.26) Főzőkonyha bővítés tervei       </t>
        </r>
        <r>
          <rPr>
            <b/>
            <sz val="8"/>
            <color indexed="81"/>
            <rFont val="Tahoma"/>
            <family val="2"/>
            <charset val="238"/>
          </rPr>
          <t xml:space="preserve"> 1.700 </t>
        </r>
        <r>
          <rPr>
            <sz val="8"/>
            <color indexed="81"/>
            <rFont val="Tahoma"/>
            <family val="2"/>
            <charset val="238"/>
          </rPr>
          <t xml:space="preserve">eFt
</t>
        </r>
        <r>
          <rPr>
            <sz val="8"/>
            <color indexed="10"/>
            <rFont val="Tahoma"/>
            <family val="2"/>
            <charset val="238"/>
          </rPr>
          <t>Összesen tevekre:</t>
        </r>
        <r>
          <rPr>
            <b/>
            <sz val="8"/>
            <color indexed="10"/>
            <rFont val="Tahoma"/>
            <family val="2"/>
            <charset val="238"/>
          </rPr>
          <t>17.589</t>
        </r>
        <r>
          <rPr>
            <sz val="8"/>
            <color indexed="10"/>
            <rFont val="Tahoma"/>
            <family val="2"/>
            <charset val="238"/>
          </rPr>
          <t xml:space="preserve"> eFt</t>
        </r>
        <r>
          <rPr>
            <sz val="8"/>
            <color indexed="81"/>
            <rFont val="Tahoma"/>
            <family val="2"/>
            <charset val="238"/>
          </rPr>
          <t xml:space="preserve">
</t>
        </r>
        <r>
          <rPr>
            <b/>
            <sz val="8"/>
            <color indexed="81"/>
            <rFont val="Tahoma"/>
            <family val="2"/>
            <charset val="238"/>
          </rPr>
          <t xml:space="preserve">
10.000eFt-ot a 2015. évi zárszámadáskor biztosítanánk a 2016-os költségvetésben biztosított a tervekre. Összesen szabadon felhasználható: 19.918-10.000=9.918 eFt
</t>
        </r>
        <r>
          <rPr>
            <sz val="8"/>
            <color indexed="81"/>
            <rFont val="Tahoma"/>
            <family val="2"/>
            <charset val="238"/>
          </rPr>
          <t xml:space="preserve">
2016/(13) 17. Járda és parkoló ép. Vásár tér-Szabaság u.
2016/(32) 46. Nagy tó körüli terület rend.  Kálmán Kinga
2016/(34) 47. Parképítés Vágóhíd közben Kálmán Kinga
2016/(40) 53. Táj és kertészeti tervek készíttetése Kálmán Kinga
- tavak környéke, 
- Kálvária-hegy, 
- Vágóhíd u. közpark
2016/(60) 77. Vízelvezetés: Kossuth és Iskola u. végén víznyelő rács építése
2016/51. Solymár – Vörösvár összekötő út a szennyvízteleppel szemben
2016/52. Szent István utca eleji vízelvezetési probléma megoldása
2016/54. Út a Béke u.-ban
2016/55. Út a Kálvária utcában
2016/56. Út a Lahner Gy. utcában
2016/57. Út a Siklósiék mögött
2016/58. Út a Szelektív udvarhoz (Ady E. folytatása)
2016/59. Út Arany János u. – Csendbiztos u. között
2016/60. Vízelvezetés: az Őrhegy-től Nagy-tó körüli területig + Vágóhíd parktól a Házi-réti patakig
2016/71. TERV???  Útépítés: Seregély u. – Gólya u. összekötése mart aszfaltos úttal
2016/72. TERV???  Útépítés: Siklósiék mögött
Kálmán Kinga tervei</t>
        </r>
      </text>
    </comment>
    <comment ref="G30" authorId="0" shapeId="0" xr:uid="{00000000-0006-0000-1300-000021000000}">
      <text>
        <r>
          <rPr>
            <b/>
            <sz val="8"/>
            <color indexed="81"/>
            <rFont val="Tahoma"/>
            <family val="2"/>
            <charset val="238"/>
          </rPr>
          <t>Felhasználó:</t>
        </r>
        <r>
          <rPr>
            <sz val="8"/>
            <color indexed="81"/>
            <rFont val="Tahoma"/>
            <family val="2"/>
            <charset val="238"/>
          </rPr>
          <t xml:space="preserve">
1. Rmód/ 70/2017. (III. 30.) Kt. sz. határozata az Iskola utcai járda és a Nagy-tó körüli sétány és futópálya kiviteli terveinek elkészítéséhez tervező kiválasztásáról (4.f.) -1420-383
1. Rmód/ 70/2017. (III. 30.) Kt. sz. határozata az Iskola utcai járda és a Nagy-tó körüli sétány és futópálya kiviteli terveinek elkészítéséhez tervező kiválasztásáról -2130-575
3. Rmód/ Közvilágítás-fejlesztési terv 20. f.-790-213
201/2017. (XI. 30.) Kt. sz. határozata a forgalomtechnikai terv felülvizsgálatáról 36. f. -1524</t>
        </r>
      </text>
    </comment>
    <comment ref="E31" authorId="0" shapeId="0" xr:uid="{00000000-0006-0000-1300-000022000000}">
      <text>
        <r>
          <rPr>
            <b/>
            <sz val="8"/>
            <color indexed="81"/>
            <rFont val="Tahoma"/>
            <family val="2"/>
            <charset val="238"/>
          </rPr>
          <t>Felhasználó:</t>
        </r>
        <r>
          <rPr>
            <sz val="8"/>
            <color indexed="81"/>
            <rFont val="Tahoma"/>
            <family val="2"/>
            <charset val="238"/>
          </rPr>
          <t xml:space="preserve">
Groupama vagyonbizt. 2830 e Ft (teljesítés szerint: 2830)
EGYÉB TELJESÍTÉS SZ.: 110 (Waberer bizt.)</t>
        </r>
      </text>
    </comment>
    <comment ref="G31" authorId="0" shapeId="0" xr:uid="{00000000-0006-0000-1300-000023000000}">
      <text>
        <r>
          <rPr>
            <b/>
            <sz val="8"/>
            <color indexed="81"/>
            <rFont val="Tahoma"/>
            <family val="2"/>
            <charset val="238"/>
          </rPr>
          <t>Felhasználó:</t>
        </r>
        <r>
          <rPr>
            <sz val="8"/>
            <color indexed="81"/>
            <rFont val="Tahoma"/>
            <family val="2"/>
            <charset val="238"/>
          </rPr>
          <t xml:space="preserve">
4. Rmód/ e.i. átvez. 35. f. +157
4. Rmód/ e.i. átcsop. 40. f. +21+14
</t>
        </r>
      </text>
    </comment>
    <comment ref="H31" authorId="0" shapeId="0" xr:uid="{00000000-0006-0000-1300-000024000000}">
      <text>
        <r>
          <rPr>
            <b/>
            <sz val="8"/>
            <color indexed="81"/>
            <rFont val="Tahoma"/>
            <family val="2"/>
            <charset val="238"/>
          </rPr>
          <t>Felhasználó:</t>
        </r>
        <r>
          <rPr>
            <sz val="8"/>
            <color indexed="81"/>
            <rFont val="Tahoma"/>
            <family val="2"/>
            <charset val="238"/>
          </rPr>
          <t xml:space="preserve">
Waberer: 238 (KGFB + Casco: JEG,NBU és pótkocsi)</t>
        </r>
      </text>
    </comment>
    <comment ref="J31" authorId="0" shapeId="0" xr:uid="{00000000-0006-0000-1300-000025000000}">
      <text>
        <r>
          <rPr>
            <b/>
            <sz val="8"/>
            <color indexed="81"/>
            <rFont val="Tahoma"/>
            <family val="2"/>
            <charset val="238"/>
          </rPr>
          <t>Felhasználó:</t>
        </r>
        <r>
          <rPr>
            <sz val="8"/>
            <color indexed="81"/>
            <rFont val="Tahoma"/>
            <family val="2"/>
            <charset val="238"/>
          </rPr>
          <t xml:space="preserve">
2. Rmód/ pm 9. f. +8</t>
        </r>
      </text>
    </comment>
    <comment ref="G32" authorId="2" shapeId="0" xr:uid="{00000000-0006-0000-1300-000026000000}">
      <text>
        <r>
          <rPr>
            <b/>
            <sz val="9"/>
            <color indexed="81"/>
            <rFont val="Tahoma"/>
            <family val="2"/>
            <charset val="238"/>
          </rPr>
          <t>felhasznalo:</t>
        </r>
        <r>
          <rPr>
            <sz val="9"/>
            <color indexed="81"/>
            <rFont val="Tahoma"/>
            <family val="2"/>
            <charset val="238"/>
          </rPr>
          <t xml:space="preserve">
4. Rmód/ e.i. átcsop. 40. f. +1</t>
        </r>
      </text>
    </comment>
    <comment ref="E33" authorId="0" shapeId="0" xr:uid="{00000000-0006-0000-1300-000027000000}">
      <text>
        <r>
          <rPr>
            <b/>
            <sz val="8"/>
            <color indexed="81"/>
            <rFont val="Tahoma"/>
            <family val="2"/>
            <charset val="238"/>
          </rPr>
          <t>Felhasználó:</t>
        </r>
        <r>
          <rPr>
            <sz val="8"/>
            <color indexed="81"/>
            <rFont val="Tahoma"/>
            <family val="2"/>
            <charset val="238"/>
          </rPr>
          <t xml:space="preserve">
Teljesítés: 3 656</t>
        </r>
      </text>
    </comment>
    <comment ref="G33" authorId="0" shapeId="0" xr:uid="{00000000-0006-0000-1300-000028000000}">
      <text>
        <r>
          <rPr>
            <b/>
            <sz val="8"/>
            <color indexed="81"/>
            <rFont val="Tahoma"/>
            <family val="2"/>
            <charset val="238"/>
          </rPr>
          <t>Felhasználó:</t>
        </r>
        <r>
          <rPr>
            <sz val="8"/>
            <color indexed="81"/>
            <rFont val="Tahoma"/>
            <family val="2"/>
            <charset val="238"/>
          </rPr>
          <t xml:space="preserve">
4. Rmód/ e.i. átvez. 35. f. +100
4. Rmód/ e.i. átcsop. 40. f. +44+8
</t>
        </r>
      </text>
    </comment>
    <comment ref="H33" authorId="0" shapeId="0" xr:uid="{00000000-0006-0000-1300-000029000000}">
      <text>
        <r>
          <rPr>
            <b/>
            <sz val="8"/>
            <color indexed="81"/>
            <rFont val="Tahoma"/>
            <family val="2"/>
            <charset val="238"/>
          </rPr>
          <t>Felhasználó:</t>
        </r>
        <r>
          <rPr>
            <sz val="8"/>
            <color indexed="81"/>
            <rFont val="Tahoma"/>
            <family val="2"/>
            <charset val="238"/>
          </rPr>
          <t xml:space="preserve">
Teljesítés: 6702
</t>
        </r>
      </text>
    </comment>
    <comment ref="J33" authorId="0" shapeId="0" xr:uid="{00000000-0006-0000-1300-00002A000000}">
      <text>
        <r>
          <rPr>
            <b/>
            <sz val="8"/>
            <color indexed="81"/>
            <rFont val="Tahoma"/>
            <family val="2"/>
            <charset val="238"/>
          </rPr>
          <t>Felhasználó:</t>
        </r>
        <r>
          <rPr>
            <sz val="8"/>
            <color indexed="81"/>
            <rFont val="Tahoma"/>
            <family val="2"/>
            <charset val="238"/>
          </rPr>
          <t xml:space="preserve">
2. Rmód/ pm 9. f. +252
4. Rmód/ e.i. átvez. 24.f. -700</t>
        </r>
      </text>
    </comment>
    <comment ref="E34" authorId="0" shapeId="0" xr:uid="{00000000-0006-0000-1300-00002B000000}">
      <text>
        <r>
          <rPr>
            <b/>
            <sz val="8"/>
            <color indexed="81"/>
            <rFont val="Tahoma"/>
            <family val="2"/>
            <charset val="238"/>
          </rPr>
          <t>Felhasználó:</t>
        </r>
        <r>
          <rPr>
            <sz val="8"/>
            <color indexed="81"/>
            <rFont val="Tahoma"/>
            <family val="2"/>
            <charset val="238"/>
          </rPr>
          <t xml:space="preserve">
Pilis Sequrity: Nem lakóingatlan és egyéb vendéglátáson van
Teljesítés: 834</t>
        </r>
      </text>
    </comment>
    <comment ref="F34" authorId="3" shapeId="0" xr:uid="{00000000-0006-0000-1300-00002C000000}">
      <text>
        <r>
          <rPr>
            <b/>
            <sz val="9"/>
            <color indexed="81"/>
            <rFont val="Tahoma"/>
            <family val="2"/>
            <charset val="238"/>
          </rPr>
          <t>Felhasznalo:</t>
        </r>
        <r>
          <rPr>
            <sz val="9"/>
            <color indexed="81"/>
            <rFont val="Tahoma"/>
            <family val="2"/>
            <charset val="238"/>
          </rPr>
          <t xml:space="preserve">
NHKV 2016-ról 123 eft</t>
        </r>
      </text>
    </comment>
    <comment ref="G34" authorId="0" shapeId="0" xr:uid="{00000000-0006-0000-1300-00002D000000}">
      <text>
        <r>
          <rPr>
            <b/>
            <sz val="8"/>
            <color indexed="81"/>
            <rFont val="Tahoma"/>
            <family val="2"/>
            <charset val="238"/>
          </rPr>
          <t>Felhasználó:</t>
        </r>
        <r>
          <rPr>
            <sz val="8"/>
            <color indexed="81"/>
            <rFont val="Tahoma"/>
            <family val="2"/>
            <charset val="238"/>
          </rPr>
          <t xml:space="preserve">
1. Rmód/ 48/2017. (III. 30.) Kt. sz. határozata a Wenczl József táncpedagógus-koreográfus tiszteletére állítandó emléktábla elhelyezésével kapcsolatos kérelem ügyében +50
3. Rmód/ e.i. átvez. 31 . F. -39-11
4. Rmód/ e.i. átvez. 34. f. -100</t>
        </r>
      </text>
    </comment>
    <comment ref="H34" authorId="0" shapeId="0" xr:uid="{00000000-0006-0000-1300-00002E000000}">
      <text>
        <r>
          <rPr>
            <b/>
            <sz val="8"/>
            <color indexed="81"/>
            <rFont val="Tahoma"/>
            <family val="2"/>
            <charset val="238"/>
          </rPr>
          <t>Felhasználó:</t>
        </r>
        <r>
          <rPr>
            <sz val="8"/>
            <color indexed="81"/>
            <rFont val="Tahoma"/>
            <family val="2"/>
            <charset val="238"/>
          </rPr>
          <t xml:space="preserve">
Pilis Sequrity (Puskin u. 8.): 90 e Ft
Földm. És Táv. I.- Takarnet tulajdonilap : 387 e Ft
Deponia szemétszáll.: 212, helyette: Zöld Bicske: 151
Pilis S. Hiv ép. (Fő tér 1.) 2015 és 2016 is: 82*2=164
Teljesítés: br. 1625 e Ft, ezért kieg.: +1109
</t>
        </r>
      </text>
    </comment>
    <comment ref="I34" authorId="3" shapeId="0" xr:uid="{00000000-0006-0000-1300-00002F000000}">
      <text>
        <r>
          <rPr>
            <b/>
            <sz val="9"/>
            <color indexed="81"/>
            <rFont val="Tahoma"/>
            <family val="2"/>
            <charset val="238"/>
          </rPr>
          <t>Felhasznalo:</t>
        </r>
        <r>
          <rPr>
            <sz val="9"/>
            <color indexed="81"/>
            <rFont val="Tahoma"/>
            <family val="2"/>
            <charset val="238"/>
          </rPr>
          <t xml:space="preserve">
</t>
        </r>
      </text>
    </comment>
    <comment ref="J34" authorId="0" shapeId="0" xr:uid="{00000000-0006-0000-1300-000030000000}">
      <text>
        <r>
          <rPr>
            <b/>
            <sz val="8"/>
            <color indexed="81"/>
            <rFont val="Tahoma"/>
            <family val="2"/>
            <charset val="238"/>
          </rPr>
          <t>Felhasználó:</t>
        </r>
        <r>
          <rPr>
            <sz val="8"/>
            <color indexed="81"/>
            <rFont val="Tahoma"/>
            <family val="2"/>
            <charset val="238"/>
          </rPr>
          <t xml:space="preserve">
4. Rmód/ e.i. átvez. 24.f. -40
4. Rmód/ e.i. átcsop. 33. f. +11</t>
        </r>
      </text>
    </comment>
    <comment ref="E35" authorId="0" shapeId="0" xr:uid="{00000000-0006-0000-1300-000031000000}">
      <text>
        <r>
          <rPr>
            <b/>
            <sz val="8"/>
            <color indexed="81"/>
            <rFont val="Tahoma"/>
            <family val="2"/>
            <charset val="238"/>
          </rPr>
          <t xml:space="preserve">Felhasználó:
</t>
        </r>
        <r>
          <rPr>
            <sz val="8"/>
            <color indexed="81"/>
            <rFont val="Tahoma"/>
            <family val="2"/>
            <charset val="238"/>
          </rPr>
          <t xml:space="preserve">2015 Teljesítés  br. 3659 e Ft
Schmidt Géza: br. 254 + új szerződés: 178
Frauditor: 254
B.G. Consulting: 600
Wessling Kft (123/2015. (VII.23.) Kt. hat. ): 483
B.G. Consulting sikerdíj 1.500 eFt
</t>
        </r>
        <r>
          <rPr>
            <b/>
            <sz val="8"/>
            <color indexed="81"/>
            <rFont val="Tahoma"/>
            <family val="2"/>
            <charset val="238"/>
          </rPr>
          <t xml:space="preserve">
 közbeszerzés:</t>
        </r>
        <r>
          <rPr>
            <sz val="8"/>
            <color indexed="81"/>
            <rFont val="Tahoma"/>
            <family val="2"/>
            <charset val="238"/>
          </rPr>
          <t xml:space="preserve">
2016-ra Solti Kinga által közbezserzési tanácsadásra tervezett összeg:12.000 eFt 
Hírdetményi díj: 1.500 eFt</t>
        </r>
      </text>
    </comment>
    <comment ref="G35" authorId="0" shapeId="0" xr:uid="{00000000-0006-0000-1300-000032000000}">
      <text>
        <r>
          <rPr>
            <b/>
            <sz val="8"/>
            <color indexed="81"/>
            <rFont val="Tahoma"/>
            <family val="2"/>
            <charset val="238"/>
          </rPr>
          <t>Felhasználó:</t>
        </r>
        <r>
          <rPr>
            <sz val="8"/>
            <color indexed="81"/>
            <rFont val="Tahoma"/>
            <family val="2"/>
            <charset val="238"/>
          </rPr>
          <t xml:space="preserve">
2. Rmód/ e.i. átvez. 16 .f. -600-162
2. Rmód/ e.i. átcsop. 17. f. -303-81
4. Rmód/ e.i. átcsop. 42. f. -303-82-50-14-215-20-33-33
4. Rmód/ e.i. átcsop. 42. f. -851-156
4. Rmód/ e.i. átcsop. 42. f. -156-611
4. Rmód/ e.i. átcsop. 42. f. -75-20-431</t>
        </r>
      </text>
    </comment>
    <comment ref="H35" authorId="0" shapeId="0" xr:uid="{00000000-0006-0000-1300-000033000000}">
      <text>
        <r>
          <rPr>
            <b/>
            <sz val="8"/>
            <color indexed="81"/>
            <rFont val="Tahoma"/>
            <family val="2"/>
            <charset val="238"/>
          </rPr>
          <t>Felhasználó:</t>
        </r>
        <r>
          <rPr>
            <sz val="8"/>
            <color indexed="81"/>
            <rFont val="Tahoma"/>
            <family val="2"/>
            <charset val="238"/>
          </rPr>
          <t xml:space="preserve">
Solti K.: 5000+infl.+jutalom, kb. 5300
Czvallinga: 180
IT Secure informatikai szakértő: 610
IT Secure informatikai szakértő: 200 (katasztr.véd.terv)
Belső ellenőrzés, Szahk-Ért.: 1524
tartalék 186</t>
        </r>
      </text>
    </comment>
    <comment ref="J35" authorId="0" shapeId="0" xr:uid="{00000000-0006-0000-1300-000034000000}">
      <text>
        <r>
          <rPr>
            <b/>
            <sz val="8"/>
            <color indexed="81"/>
            <rFont val="Tahoma"/>
            <family val="2"/>
            <charset val="238"/>
          </rPr>
          <t>Felhasználó:</t>
        </r>
        <r>
          <rPr>
            <sz val="8"/>
            <color indexed="81"/>
            <rFont val="Tahoma"/>
            <family val="2"/>
            <charset val="238"/>
          </rPr>
          <t xml:space="preserve">
2. Rmód/ pm 9. f. +100+27
2. Rmód/ pm 9. f. +645+145
4. Rmód/ e.i. átcsop. 33. f. -154
</t>
        </r>
      </text>
    </comment>
    <comment ref="E36" authorId="0" shapeId="0" xr:uid="{00000000-0006-0000-1300-000035000000}">
      <text>
        <r>
          <rPr>
            <b/>
            <sz val="8"/>
            <color indexed="81"/>
            <rFont val="Tahoma"/>
            <family val="2"/>
            <charset val="238"/>
          </rPr>
          <t>Felhasználó:</t>
        </r>
        <r>
          <rPr>
            <sz val="8"/>
            <color indexed="81"/>
            <rFont val="Tahoma"/>
            <family val="2"/>
            <charset val="238"/>
          </rPr>
          <t xml:space="preserve">
Dr.Schmidt V.: 4572 e Ft/év
+33 eFt egyensúly miatt</t>
        </r>
      </text>
    </comment>
    <comment ref="G36" authorId="0" shapeId="0" xr:uid="{00000000-0006-0000-1300-000036000000}">
      <text>
        <r>
          <rPr>
            <b/>
            <sz val="8"/>
            <color indexed="81"/>
            <rFont val="Tahoma"/>
            <family val="2"/>
            <charset val="238"/>
          </rPr>
          <t>Felhasználó:</t>
        </r>
        <r>
          <rPr>
            <sz val="8"/>
            <color indexed="81"/>
            <rFont val="Tahoma"/>
            <family val="2"/>
            <charset val="238"/>
          </rPr>
          <t xml:space="preserve">
2. Rmód/ Maradvány előirányzat 9. f.  +400+108</t>
        </r>
      </text>
    </comment>
    <comment ref="H36" authorId="0" shapeId="0" xr:uid="{00000000-0006-0000-1300-000037000000}">
      <text>
        <r>
          <rPr>
            <b/>
            <sz val="8"/>
            <color indexed="81"/>
            <rFont val="Tahoma"/>
            <family val="2"/>
            <charset val="238"/>
          </rPr>
          <t>Felhasználó:</t>
        </r>
        <r>
          <rPr>
            <sz val="8"/>
            <color indexed="81"/>
            <rFont val="Tahoma"/>
            <family val="2"/>
            <charset val="238"/>
          </rPr>
          <t xml:space="preserve">
Teljesítés:90</t>
        </r>
      </text>
    </comment>
    <comment ref="E37" authorId="0" shapeId="0" xr:uid="{00000000-0006-0000-1300-000038000000}">
      <text>
        <r>
          <rPr>
            <b/>
            <sz val="8"/>
            <color indexed="81"/>
            <rFont val="Tahoma"/>
            <family val="2"/>
            <charset val="238"/>
          </rPr>
          <t>Felhasználó:</t>
        </r>
        <r>
          <rPr>
            <sz val="8"/>
            <color indexed="81"/>
            <rFont val="Tahoma"/>
            <family val="2"/>
            <charset val="238"/>
          </rPr>
          <t xml:space="preserve">
Ha főzőkönyha: konyha cofog dologi 12*5500=66 E Ft</t>
        </r>
      </text>
    </comment>
    <comment ref="H37" authorId="0" shapeId="0" xr:uid="{00000000-0006-0000-1300-000039000000}">
      <text>
        <r>
          <rPr>
            <b/>
            <sz val="8"/>
            <color indexed="81"/>
            <rFont val="Tahoma"/>
            <family val="2"/>
            <charset val="238"/>
          </rPr>
          <t>Felhasználó:</t>
        </r>
        <r>
          <rPr>
            <sz val="8"/>
            <color indexed="81"/>
            <rFont val="Tahoma"/>
            <family val="2"/>
            <charset val="238"/>
          </rPr>
          <t xml:space="preserve">
Body Check
Teljesítés: 429</t>
        </r>
      </text>
    </comment>
    <comment ref="J37" authorId="2" shapeId="0" xr:uid="{00000000-0006-0000-1300-00003A000000}">
      <text>
        <r>
          <rPr>
            <b/>
            <sz val="9"/>
            <color indexed="81"/>
            <rFont val="Tahoma"/>
            <family val="2"/>
            <charset val="238"/>
          </rPr>
          <t>felhasznalo:</t>
        </r>
        <r>
          <rPr>
            <sz val="9"/>
            <color indexed="81"/>
            <rFont val="Tahoma"/>
            <family val="2"/>
            <charset val="238"/>
          </rPr>
          <t xml:space="preserve">
4. Rmód/ e.i. átcsop. 33. f. +143</t>
        </r>
      </text>
    </comment>
    <comment ref="H39" authorId="0" shapeId="0" xr:uid="{00000000-0006-0000-1300-00003B000000}">
      <text>
        <r>
          <rPr>
            <b/>
            <sz val="8"/>
            <color indexed="81"/>
            <rFont val="Tahoma"/>
            <family val="2"/>
            <charset val="238"/>
          </rPr>
          <t>Felhasználó:</t>
        </r>
        <r>
          <rPr>
            <sz val="8"/>
            <color indexed="81"/>
            <rFont val="Tahoma"/>
            <family val="2"/>
            <charset val="238"/>
          </rPr>
          <t xml:space="preserve">
Teljesítés: 45</t>
        </r>
      </text>
    </comment>
    <comment ref="E40" authorId="0" shapeId="0" xr:uid="{00000000-0006-0000-1300-00003C000000}">
      <text>
        <r>
          <rPr>
            <b/>
            <sz val="8"/>
            <color indexed="81"/>
            <rFont val="Tahoma"/>
            <family val="2"/>
            <charset val="238"/>
          </rPr>
          <t>Felhasználó:</t>
        </r>
        <r>
          <rPr>
            <sz val="8"/>
            <color indexed="81"/>
            <rFont val="Tahoma"/>
            <family val="2"/>
            <charset val="238"/>
          </rPr>
          <t xml:space="preserve">
Teljesítés: 64 e Ft</t>
        </r>
      </text>
    </comment>
    <comment ref="H40" authorId="0" shapeId="0" xr:uid="{00000000-0006-0000-1300-00003D000000}">
      <text>
        <r>
          <rPr>
            <b/>
            <sz val="8"/>
            <color indexed="81"/>
            <rFont val="Tahoma"/>
            <family val="2"/>
            <charset val="238"/>
          </rPr>
          <t>Felhasználó:</t>
        </r>
        <r>
          <rPr>
            <sz val="8"/>
            <color indexed="81"/>
            <rFont val="Tahoma"/>
            <family val="2"/>
            <charset val="238"/>
          </rPr>
          <t xml:space="preserve">
Teljesítés: 124
Borszék 2016: 100</t>
        </r>
      </text>
    </comment>
    <comment ref="E41" authorId="0" shapeId="0" xr:uid="{00000000-0006-0000-1300-00003E000000}">
      <text>
        <r>
          <rPr>
            <b/>
            <sz val="8"/>
            <color indexed="81"/>
            <rFont val="Tahoma"/>
            <family val="2"/>
            <charset val="238"/>
          </rPr>
          <t>Felhasználó:</t>
        </r>
        <r>
          <rPr>
            <sz val="8"/>
            <color indexed="81"/>
            <rFont val="Tahoma"/>
            <family val="2"/>
            <charset val="238"/>
          </rPr>
          <t xml:space="preserve">
Pilis Tv. 4800 +infláció kb 200</t>
        </r>
      </text>
    </comment>
    <comment ref="G41" authorId="0" shapeId="0" xr:uid="{00000000-0006-0000-1300-00003F000000}">
      <text>
        <r>
          <rPr>
            <b/>
            <sz val="8"/>
            <color indexed="81"/>
            <rFont val="Tahoma"/>
            <family val="2"/>
            <charset val="238"/>
          </rPr>
          <t>Felhasználó:</t>
        </r>
        <r>
          <rPr>
            <sz val="8"/>
            <color indexed="81"/>
            <rFont val="Tahoma"/>
            <family val="2"/>
            <charset val="238"/>
          </rPr>
          <t xml:space="preserve">
1. Rmód/ 31/2017. (II. 23.) Kt. sz. a Pilis TV műsorszolgáltatási díjemelési kérelméről (1.f.) +316+86</t>
        </r>
      </text>
    </comment>
    <comment ref="E43" authorId="0" shapeId="0" xr:uid="{00000000-0006-0000-1300-000040000000}">
      <text>
        <r>
          <rPr>
            <b/>
            <sz val="8"/>
            <color indexed="81"/>
            <rFont val="Tahoma"/>
            <family val="2"/>
            <charset val="238"/>
          </rPr>
          <t>Felhasználó:</t>
        </r>
        <r>
          <rPr>
            <sz val="8"/>
            <color indexed="81"/>
            <rFont val="Tahoma"/>
            <family val="2"/>
            <charset val="238"/>
          </rPr>
          <t xml:space="preserve">
Teljesítés: 1250*0,2126</t>
        </r>
      </text>
    </comment>
    <comment ref="F43" authorId="3" shapeId="0" xr:uid="{00000000-0006-0000-1300-000041000000}">
      <text>
        <r>
          <rPr>
            <b/>
            <sz val="9"/>
            <color indexed="81"/>
            <rFont val="Tahoma"/>
            <family val="2"/>
            <charset val="238"/>
          </rPr>
          <t>Felhasznalo:</t>
        </r>
        <r>
          <rPr>
            <sz val="9"/>
            <color indexed="81"/>
            <rFont val="Tahoma"/>
            <family val="2"/>
            <charset val="238"/>
          </rPr>
          <t xml:space="preserve">
2016.dec áfa 400
igazgatási bevételek*0,27
</t>
        </r>
      </text>
    </comment>
    <comment ref="G43" authorId="0" shapeId="0" xr:uid="{00000000-0006-0000-1300-000042000000}">
      <text>
        <r>
          <rPr>
            <b/>
            <sz val="8"/>
            <color indexed="81"/>
            <rFont val="Tahoma"/>
            <family val="2"/>
            <charset val="238"/>
          </rPr>
          <t>Felhasználó:</t>
        </r>
        <r>
          <rPr>
            <sz val="8"/>
            <color indexed="81"/>
            <rFont val="Tahoma"/>
            <family val="2"/>
            <charset val="238"/>
          </rPr>
          <t xml:space="preserve">
2. RMÓD/ előirányzat átvezetés 12. f. -9
3. Rmód/ e.i. átvez. 31. f. +4+9+31+6+164+331-544</t>
        </r>
      </text>
    </comment>
    <comment ref="E44" authorId="0" shapeId="0" xr:uid="{00000000-0006-0000-1300-000043000000}">
      <text>
        <r>
          <rPr>
            <b/>
            <sz val="8"/>
            <color indexed="81"/>
            <rFont val="Tahoma"/>
            <family val="2"/>
            <charset val="238"/>
          </rPr>
          <t>Felhasználó:</t>
        </r>
        <r>
          <rPr>
            <sz val="8"/>
            <color indexed="81"/>
            <rFont val="Tahoma"/>
            <family val="2"/>
            <charset val="238"/>
          </rPr>
          <t xml:space="preserve">
Teljesítés: 760</t>
        </r>
      </text>
    </comment>
    <comment ref="G44" authorId="0" shapeId="0" xr:uid="{00000000-0006-0000-1300-000044000000}">
      <text>
        <r>
          <rPr>
            <b/>
            <sz val="8"/>
            <color indexed="81"/>
            <rFont val="Tahoma"/>
            <family val="2"/>
            <charset val="238"/>
          </rPr>
          <t>Felhasználó:</t>
        </r>
        <r>
          <rPr>
            <sz val="8"/>
            <color indexed="81"/>
            <rFont val="Tahoma"/>
            <family val="2"/>
            <charset val="238"/>
          </rPr>
          <t xml:space="preserve">
2. Rmód/ e.i. átvez. 10 .f. +15
2. Rmód/ e.i. átvez. 16 .f. +18+10+5
3. Rmód/ Trina repi átvezetés 28. f. +22
4. Rmód/ e.i. átcsop. 38. f. +15+4+4+8+3+1
4. Rmód/ e.i. átcsop. 43. f. +4</t>
        </r>
      </text>
    </comment>
    <comment ref="J44" authorId="0" shapeId="0" xr:uid="{00000000-0006-0000-1300-000045000000}">
      <text>
        <r>
          <rPr>
            <b/>
            <sz val="8"/>
            <color indexed="81"/>
            <rFont val="Tahoma"/>
            <family val="2"/>
            <charset val="238"/>
          </rPr>
          <t>Felhasználó:</t>
        </r>
        <r>
          <rPr>
            <sz val="8"/>
            <color indexed="81"/>
            <rFont val="Tahoma"/>
            <family val="2"/>
            <charset val="238"/>
          </rPr>
          <t xml:space="preserve">
2. Rmód/ e.i. átvez. 7 .f. +22
2. Rmód/ e.i. átvez. 11 .f. +1
4. Rmód/ e.i. átvez. 35. f. +62</t>
        </r>
      </text>
    </comment>
    <comment ref="G46" authorId="0" shapeId="0" xr:uid="{00000000-0006-0000-1300-000046000000}">
      <text>
        <r>
          <rPr>
            <b/>
            <sz val="8"/>
            <color indexed="81"/>
            <rFont val="Tahoma"/>
            <family val="2"/>
            <charset val="238"/>
          </rPr>
          <t>Felhasználó:</t>
        </r>
        <r>
          <rPr>
            <sz val="8"/>
            <color indexed="81"/>
            <rFont val="Tahoma"/>
            <family val="2"/>
            <charset val="238"/>
          </rPr>
          <t xml:space="preserve">
2. Rmód/ előirányzat átvezetés (8. f.) +85</t>
        </r>
      </text>
    </comment>
    <comment ref="E47" authorId="0" shapeId="0" xr:uid="{00000000-0006-0000-1300-000047000000}">
      <text>
        <r>
          <rPr>
            <b/>
            <sz val="8"/>
            <color indexed="81"/>
            <rFont val="Tahoma"/>
            <family val="2"/>
            <charset val="238"/>
          </rPr>
          <t>Felhasználó:</t>
        </r>
        <r>
          <rPr>
            <sz val="8"/>
            <color indexed="81"/>
            <rFont val="Tahoma"/>
            <family val="2"/>
            <charset val="238"/>
          </rPr>
          <t xml:space="preserve">
Teljesítés: 15 e Ft</t>
        </r>
      </text>
    </comment>
    <comment ref="G47" authorId="0" shapeId="0" xr:uid="{00000000-0006-0000-1300-000048000000}">
      <text>
        <r>
          <rPr>
            <b/>
            <sz val="8"/>
            <color indexed="81"/>
            <rFont val="Tahoma"/>
            <family val="2"/>
            <charset val="238"/>
          </rPr>
          <t>Felhasználó:</t>
        </r>
        <r>
          <rPr>
            <sz val="8"/>
            <color indexed="81"/>
            <rFont val="Tahoma"/>
            <family val="2"/>
            <charset val="238"/>
          </rPr>
          <t xml:space="preserve">
3.Rmód/ e.i. átvez. 22. f. -1</t>
        </r>
      </text>
    </comment>
    <comment ref="G49" authorId="0" shapeId="0" xr:uid="{00000000-0006-0000-1300-000049000000}">
      <text>
        <r>
          <rPr>
            <b/>
            <sz val="8"/>
            <color indexed="81"/>
            <rFont val="Tahoma"/>
            <family val="2"/>
            <charset val="238"/>
          </rPr>
          <t>Felhasználó:</t>
        </r>
        <r>
          <rPr>
            <sz val="8"/>
            <color indexed="81"/>
            <rFont val="Tahoma"/>
            <family val="2"/>
            <charset val="238"/>
          </rPr>
          <t xml:space="preserve">
1. Rmód/ előirányzat átvezetés (1.f.) +1
2. Rmód/ e.i. átvez. 8. f. +4
3.Rmód/ e.i. átvez. 22. f. +1
4.Rmód/ e.i. átvez. 34. f. +4
4. Rmód/ e.i. átvez. 35. f. +10</t>
        </r>
      </text>
    </comment>
    <comment ref="E50" authorId="0" shapeId="0" xr:uid="{00000000-0006-0000-1300-00004A000000}">
      <text>
        <r>
          <rPr>
            <b/>
            <sz val="8"/>
            <color indexed="81"/>
            <rFont val="Tahoma"/>
            <family val="2"/>
            <charset val="238"/>
          </rPr>
          <t>Felhasználó:</t>
        </r>
        <r>
          <rPr>
            <sz val="8"/>
            <color indexed="81"/>
            <rFont val="Tahoma"/>
            <family val="2"/>
            <charset val="238"/>
          </rPr>
          <t xml:space="preserve">
Nemzeti Kataszteri Pr. Ingatlannyilvántartási program használati jogdíja 453 e Ft/év
Teljesítés: 11 266 e Ft
Benne van: számlavezetési díj Sberbank 7800 
cégautó adó 400 eFt
MÖSZ tagdíj 140 eFt
közutak COFOG 2015. teljesítése alapján +1.000 ide
útépítések engedélyeztetési díjai</t>
        </r>
      </text>
    </comment>
    <comment ref="G50" authorId="0" shapeId="0" xr:uid="{00000000-0006-0000-1300-00004B000000}">
      <text>
        <r>
          <rPr>
            <b/>
            <sz val="8"/>
            <color indexed="81"/>
            <rFont val="Tahoma"/>
            <family val="2"/>
            <charset val="238"/>
          </rPr>
          <t>Felhasználó:</t>
        </r>
        <r>
          <rPr>
            <sz val="8"/>
            <color indexed="81"/>
            <rFont val="Tahoma"/>
            <family val="2"/>
            <charset val="238"/>
          </rPr>
          <t xml:space="preserve">
1. Rmód/ előirányzat átvezetés (1.f.) -2
2. Rmód/ előirányzat átvezetés (6.f.) -124
2. Rmód/77/2017. (IV. 27.) Kt. sz. határozata az Észak-Budai Zrt. peren kívüli egyezségi ajánlatának elutasításáról és új egyezségi ajánlat megtételéről 8. f. +2000
2. Rmód/ e.i. átvez. 8. f. -4
2. Rmód/ e.i. átvez. 16 .f. -100
2. Rmód/ előirányzat átvezetés (19.f.) -14
</t>
        </r>
      </text>
    </comment>
    <comment ref="H50" authorId="0" shapeId="0" xr:uid="{00000000-0006-0000-1300-00004C000000}">
      <text>
        <r>
          <rPr>
            <b/>
            <sz val="8"/>
            <color indexed="81"/>
            <rFont val="Tahoma"/>
            <family val="2"/>
            <charset val="238"/>
          </rPr>
          <t>Felhasználó:</t>
        </r>
        <r>
          <rPr>
            <sz val="8"/>
            <color indexed="81"/>
            <rFont val="Tahoma"/>
            <family val="2"/>
            <charset val="238"/>
          </rPr>
          <t xml:space="preserve">
Saldo tagdíj: 216
Teljesítés: 627
Viola tábl.: 642</t>
        </r>
      </text>
    </comment>
    <comment ref="J50" authorId="0" shapeId="0" xr:uid="{00000000-0006-0000-1300-00004D000000}">
      <text>
        <r>
          <rPr>
            <b/>
            <sz val="8"/>
            <color indexed="81"/>
            <rFont val="Tahoma"/>
            <family val="2"/>
            <charset val="238"/>
          </rPr>
          <t>Felhasználó:</t>
        </r>
        <r>
          <rPr>
            <sz val="8"/>
            <color indexed="81"/>
            <rFont val="Tahoma"/>
            <family val="2"/>
            <charset val="238"/>
          </rPr>
          <t xml:space="preserve">
3. Rmód/ e.i. átcsop. -18 .f. +100
4. Rmód/ e.i. átvez. 23.f. +60</t>
        </r>
      </text>
    </comment>
    <comment ref="G51" authorId="0" shapeId="0" xr:uid="{00000000-0006-0000-1300-00004E000000}">
      <text>
        <r>
          <rPr>
            <b/>
            <sz val="8"/>
            <color indexed="81"/>
            <rFont val="Tahoma"/>
            <family val="2"/>
            <charset val="238"/>
          </rPr>
          <t>Felhasználó:</t>
        </r>
        <r>
          <rPr>
            <sz val="8"/>
            <color indexed="81"/>
            <rFont val="Tahoma"/>
            <family val="2"/>
            <charset val="238"/>
          </rPr>
          <t xml:space="preserve">
1. Rmód/ előirányzat átvezetés (1.f.) +1
4. Rmód/ e.i. átcsop. 40. f. +4</t>
        </r>
      </text>
    </comment>
    <comment ref="J51" authorId="0" shapeId="0" xr:uid="{00000000-0006-0000-1300-00004F000000}">
      <text>
        <r>
          <rPr>
            <b/>
            <sz val="8"/>
            <color indexed="81"/>
            <rFont val="Tahoma"/>
            <family val="2"/>
            <charset val="238"/>
          </rPr>
          <t>Felhasználó:</t>
        </r>
        <r>
          <rPr>
            <sz val="8"/>
            <color indexed="81"/>
            <rFont val="Tahoma"/>
            <family val="2"/>
            <charset val="238"/>
          </rPr>
          <t xml:space="preserve">
1. Rmód/ előirányzat átvezetés (6.f.) +45</t>
        </r>
      </text>
    </comment>
    <comment ref="E53" authorId="0" shapeId="0" xr:uid="{00000000-0006-0000-1300-000050000000}">
      <text>
        <r>
          <rPr>
            <b/>
            <sz val="8"/>
            <color indexed="81"/>
            <rFont val="Tahoma"/>
            <family val="2"/>
            <charset val="238"/>
          </rPr>
          <t>Felhasználó:</t>
        </r>
        <r>
          <rPr>
            <sz val="8"/>
            <color indexed="81"/>
            <rFont val="Tahoma"/>
            <family val="2"/>
            <charset val="238"/>
          </rPr>
          <t xml:space="preserve">
Teljesítés: 152+áfa
Kálmán Kinga, közbeszerzési konferencia</t>
        </r>
      </text>
    </comment>
    <comment ref="H53" authorId="0" shapeId="0" xr:uid="{00000000-0006-0000-1300-000051000000}">
      <text>
        <r>
          <rPr>
            <b/>
            <sz val="8"/>
            <color indexed="81"/>
            <rFont val="Tahoma"/>
            <family val="2"/>
            <charset val="238"/>
          </rPr>
          <t>Felhasználó:</t>
        </r>
        <r>
          <rPr>
            <sz val="8"/>
            <color indexed="81"/>
            <rFont val="Tahoma"/>
            <family val="2"/>
            <charset val="238"/>
          </rPr>
          <t xml:space="preserve">
Teljesítés:1465
Rita sz. a képzés költség 1.947</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User1</author>
  </authors>
  <commentList>
    <comment ref="M1" authorId="0" shapeId="0" xr:uid="{00000000-0006-0000-1900-000001000000}">
      <text>
        <r>
          <rPr>
            <b/>
            <sz val="9"/>
            <color indexed="81"/>
            <rFont val="Tahoma"/>
            <family val="2"/>
            <charset val="238"/>
          </rPr>
          <t>User1:</t>
        </r>
        <r>
          <rPr>
            <sz val="9"/>
            <color indexed="81"/>
            <rFont val="Tahoma"/>
            <family val="2"/>
            <charset val="238"/>
          </rPr>
          <t xml:space="preserve">
euribor -0,158%
de szerződésben nem megengedett a negatív %, ekkor 0-val kell számolni.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User1</author>
  </authors>
  <commentList>
    <comment ref="M1" authorId="0" shapeId="0" xr:uid="{00000000-0006-0000-1A00-000001000000}">
      <text>
        <r>
          <rPr>
            <b/>
            <sz val="9"/>
            <color indexed="81"/>
            <rFont val="Tahoma"/>
            <family val="2"/>
            <charset val="238"/>
          </rPr>
          <t>User1:</t>
        </r>
        <r>
          <rPr>
            <sz val="9"/>
            <color indexed="81"/>
            <rFont val="Tahoma"/>
            <family val="2"/>
            <charset val="238"/>
          </rPr>
          <t xml:space="preserve">
euribor -0,158%
de szerződésben nem megengedett a negatív %, ekkor 0-val kell számolni.</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Felhasználó</author>
  </authors>
  <commentList>
    <comment ref="C32" authorId="0" shapeId="0" xr:uid="{00000000-0006-0000-1B00-000001000000}">
      <text>
        <r>
          <rPr>
            <b/>
            <sz val="8"/>
            <color indexed="81"/>
            <rFont val="Tahoma"/>
            <family val="2"/>
            <charset val="238"/>
          </rPr>
          <t>Felhasználó:</t>
        </r>
        <r>
          <rPr>
            <sz val="8"/>
            <color indexed="81"/>
            <rFont val="Tahoma"/>
            <family val="2"/>
            <charset val="238"/>
          </rPr>
          <t xml:space="preserve">
Sajtóreferens +1 </t>
        </r>
      </text>
    </comment>
  </commentList>
</comments>
</file>

<file path=xl/sharedStrings.xml><?xml version="1.0" encoding="utf-8"?>
<sst xmlns="http://schemas.openxmlformats.org/spreadsheetml/2006/main" count="3774" uniqueCount="1593">
  <si>
    <t>Pilisvörösvár Város Önkormányzata három évre való előre tekintés a várható bevételekről és kiadásokról</t>
  </si>
  <si>
    <t xml:space="preserve">Egyéb működési bevételek </t>
  </si>
  <si>
    <t>Könyvkiadás</t>
  </si>
  <si>
    <t>Sorsz.</t>
  </si>
  <si>
    <t>1. a helyi adóból és települési adóból származó bevétel,</t>
  </si>
  <si>
    <t>2. az önkormányzati vagyon és az önkormányzatot megillető vagyoni értékű jog értékesítéséből és hasznosításából származó bevétel,</t>
  </si>
  <si>
    <t>3. az osztalék, a koncessziós díj és a hozambevétel,</t>
  </si>
  <si>
    <t>4. a tárgyi eszköz és az immateriális jószág, részvény, részesedés, vállalat értékesítéséből vagy privatizációból származó bevétel,</t>
  </si>
  <si>
    <t>5. bírság-, pótlék- és díjbevétel, valamint</t>
  </si>
  <si>
    <t>6. a kezességvállalással kapcsolatos megtérülés.”</t>
  </si>
  <si>
    <t>2/1. melléklet</t>
  </si>
  <si>
    <t>2/2. melléklet</t>
  </si>
  <si>
    <t>3. melléklet</t>
  </si>
  <si>
    <t>4. melléklet</t>
  </si>
  <si>
    <t>5. melléklet</t>
  </si>
  <si>
    <t>6. melléklet</t>
  </si>
  <si>
    <t>7. melléklet</t>
  </si>
  <si>
    <t>8. melléklet</t>
  </si>
  <si>
    <t>9.  melléklet</t>
  </si>
  <si>
    <t>10.  melléklet</t>
  </si>
  <si>
    <t>27. melléklet</t>
  </si>
  <si>
    <t>28. melléklet</t>
  </si>
  <si>
    <t>29. melléklet</t>
  </si>
  <si>
    <t>(1) szociális étkeztetés</t>
  </si>
  <si>
    <t>(2) Házi segítségnyújtás - társulás által történő feladatellátás</t>
  </si>
  <si>
    <t>f)</t>
  </si>
  <si>
    <t>(2) Időskorúak nappali intézményi ellátása - társulás által történő feladatellátás</t>
  </si>
  <si>
    <t>g)</t>
  </si>
  <si>
    <t>(2) Fogyatékos  személyek nappali intézményi ellátása - társulás által történő feladatellátás</t>
  </si>
  <si>
    <t>A települési önkormányzatok által biztosított egyes szociális szakosított ellátások, valamint a gyermekek átmeneti gondozásával kapcsolatos feladatok támogatása</t>
  </si>
  <si>
    <t xml:space="preserve">A finanszírozás szempontjából elismert szakmai dolgozók bértámogatása </t>
  </si>
  <si>
    <t xml:space="preserve">Intézmény-üzemeltetési támogatás </t>
  </si>
  <si>
    <t>Gyermekétkeztetés támogatása</t>
  </si>
  <si>
    <t xml:space="preserve">A finanszírozás szempontjából elismert  dolgozók bértámogatása </t>
  </si>
  <si>
    <t>Gyermekétkeztetés üzemeltetési támogatása</t>
  </si>
  <si>
    <t xml:space="preserve">A TELEPÜLÉSI ÖNKORMÁNYZATOK SZOCIÁLIS , GYERMEKJÓLÉTI ÉS GYERMEKÉTKEZTETÉSI FELADATAINAK TÁMOGATÁSA ÖSSZESEN </t>
  </si>
  <si>
    <t>IV.</t>
  </si>
  <si>
    <t xml:space="preserve">Könyvtári, közművelődési és múzeumi feladatok támogatása összesen </t>
  </si>
  <si>
    <t xml:space="preserve"> A TELEPÜLÉSI ÖNKORMÁNYZATOK KULTURÁLIS FELADATAINAK TÁMOGATÁSA ÖSSZESEN </t>
  </si>
  <si>
    <t xml:space="preserve">Ellátottak pénzbeli juttatásai </t>
  </si>
  <si>
    <t>Egyéb közhatalmi bevételek (igazgatási szolgáltatási díjak, helyszíni, egyéb, helyi adópótlék és bírság)</t>
  </si>
  <si>
    <t>Sor-szám</t>
  </si>
  <si>
    <t xml:space="preserve">Finanszírozási kiadások </t>
  </si>
  <si>
    <t>Működési célú pénzeszközátvétel egyházaktól</t>
  </si>
  <si>
    <t xml:space="preserve">Működési célú pénzeszközátvétel háztartásoktól </t>
  </si>
  <si>
    <t xml:space="preserve">Működési célú pénzeszközátvétel pénzügyi vállalkozásoktól </t>
  </si>
  <si>
    <t>Működési célú pénzeszközátvétel önkormányzatoktól</t>
  </si>
  <si>
    <t>Működési célú pénzeszközátvétel vállalkozástól (Vízművek Kft)</t>
  </si>
  <si>
    <t xml:space="preserve">Működési célú pénzeszközátvétel az Európai Unió költségvetéséből </t>
  </si>
  <si>
    <t xml:space="preserve">Működési célú pénzeszközátvétel kormányoktól és nemzetközi szervezetektől </t>
  </si>
  <si>
    <t>Működési célú pénzeszközátvétel egyéb külföldi forrásból</t>
  </si>
  <si>
    <t xml:space="preserve">Működési célú garancia- és kezességvállalásból származó megtérülések államháztartáson kívülről </t>
  </si>
  <si>
    <t xml:space="preserve">Felhalmozási célú pénzeszközátvétel non-profit szervezetektől </t>
  </si>
  <si>
    <t xml:space="preserve">Felhalmozási célú pénzeszközátvétel egyházaktól </t>
  </si>
  <si>
    <t xml:space="preserve">Felhalmozási célú pénzeszközátvétel pénzügyi vállalkozásoktól </t>
  </si>
  <si>
    <t>Felhalmozási célú pénzeszközátvétel önkormányzati többségi tulajdonú vállalkozástól</t>
  </si>
  <si>
    <t xml:space="preserve">Felhalmozási célra kapott juttatások az Európai Unió költségvetéséből </t>
  </si>
  <si>
    <t>Felhalmozási célra kapott juttatások kormányoktól és nemzetközi szervezetektől</t>
  </si>
  <si>
    <t xml:space="preserve">Felhalmozási célra kapott juttatások egyéb külföldi forrásból </t>
  </si>
  <si>
    <t xml:space="preserve">Felhalmozási célú garancia- és kezességvállalásból származó megtérülések államháztartáson kívülről </t>
  </si>
  <si>
    <t>Sorszám</t>
  </si>
  <si>
    <t>Települési támogatások - Rendkívüli települési támogatás</t>
  </si>
  <si>
    <t>Kiszámlázott termékek, szolgáltatások (ÁHB, ÁHK közvetített szolg)</t>
  </si>
  <si>
    <t xml:space="preserve">BEVÉTELEK ÖSSZESEN </t>
  </si>
  <si>
    <t>Bevételek</t>
  </si>
  <si>
    <t>Kiadások</t>
  </si>
  <si>
    <t>Bölcsődei étkezés</t>
  </si>
  <si>
    <t>Értékesített tárgyi eszközök, immateriális javak általános forgalmi adója (felhalmozási bevétel áfa bevétele)</t>
  </si>
  <si>
    <t>B406</t>
  </si>
  <si>
    <t>Önk-ből Hiv.-nál van: 1. rmód/ Belső ellenőrzés Hivatali szerződés változás,  előirányzat átcsoportosítása (1. feladás): +1524</t>
  </si>
  <si>
    <t>B115-B116</t>
  </si>
  <si>
    <t>Működési célú központosított előirányzatok, Helyi önkormányzatok kiegészítő támogatásai</t>
  </si>
  <si>
    <t xml:space="preserve">B6 Működési célú pénzeszközátvételek államháztartáson kívülről </t>
  </si>
  <si>
    <t xml:space="preserve">B7 Felhalmozási célú pénzeszközátvételek államháztartáson kívülről </t>
  </si>
  <si>
    <t>Ez törlése került később, mert a beruházáshoz került</t>
  </si>
  <si>
    <t>Szemüveg, ruha: Baranyai</t>
  </si>
  <si>
    <t>Nem igazgatás, de ruha: Főzőkonyha póló, Temetőgondnok, Városgondnokság</t>
  </si>
  <si>
    <t>Összeadásnál figyelni</t>
  </si>
  <si>
    <t>Számlázott szellemi tev (felújítás, korszerűsítés tervei)</t>
  </si>
  <si>
    <t>Reprezentációra jutó áfa</t>
  </si>
  <si>
    <t>Általános forgalmi adó visszatérülése</t>
  </si>
  <si>
    <t>25</t>
  </si>
  <si>
    <t>27</t>
  </si>
  <si>
    <t>0535112</t>
  </si>
  <si>
    <t>K123</t>
  </si>
  <si>
    <t>Reprezentáció</t>
  </si>
  <si>
    <t>Tartalékok összesen</t>
  </si>
  <si>
    <t>Irányító szervi támogatások folyósítása</t>
  </si>
  <si>
    <t>MFB-s fejlesztési célhitel (szennyvíztisztító telep és csatorna hálózat fejlesztés) törlesztése</t>
  </si>
  <si>
    <t>K11-K122</t>
  </si>
  <si>
    <t>K1107</t>
  </si>
  <si>
    <t xml:space="preserve"> - ebből Cafeteria (tájékoztató adat)</t>
  </si>
  <si>
    <t>Működési bevételek összesen</t>
  </si>
  <si>
    <t>Felhalmozási bevételek összesen</t>
  </si>
  <si>
    <t>Német Nemzetiségi Óvoda</t>
  </si>
  <si>
    <t>Magánszemélyek kommunális adója</t>
  </si>
  <si>
    <t>Helyi iparűzési adó</t>
  </si>
  <si>
    <t>Helyi adó pótlék, bírság</t>
  </si>
  <si>
    <t>Igazgatási szolgáltatási díjak</t>
  </si>
  <si>
    <t>Egyéb közhatalmi bevételek</t>
  </si>
  <si>
    <t>Önkormányzati lakás lakbér</t>
  </si>
  <si>
    <t>B341</t>
  </si>
  <si>
    <t>B351</t>
  </si>
  <si>
    <t>B35</t>
  </si>
  <si>
    <t>Termékek és szolgáltatások adói</t>
  </si>
  <si>
    <t>B3611</t>
  </si>
  <si>
    <t>B36128</t>
  </si>
  <si>
    <t>Közvetített szolgáltatások értéke (továbbszámlázott szolgáltatások)</t>
  </si>
  <si>
    <t>Csatorna bérbeadás</t>
  </si>
  <si>
    <t>Haszonbérleti díj</t>
  </si>
  <si>
    <t>Betét után kapott kamat</t>
  </si>
  <si>
    <t>Egyéb kamatbevételek</t>
  </si>
  <si>
    <t>B403, B406</t>
  </si>
  <si>
    <t>B402, B406</t>
  </si>
  <si>
    <t>B401, B406</t>
  </si>
  <si>
    <t>Köztemető</t>
  </si>
  <si>
    <t xml:space="preserve">Szolgáltatások ellenértéke </t>
  </si>
  <si>
    <t>Krízis segély</t>
  </si>
  <si>
    <t>Települési támogatások - Lakhatáshoz kapcs. Rendszeres kiadások viseléséhez</t>
  </si>
  <si>
    <t>Települési támogatások - A 18. életévét betöltött tartósan beteg hozzátartozójának az ápolását, gondozását végző személy részére</t>
  </si>
  <si>
    <t>K502</t>
  </si>
  <si>
    <t>Elvonások és befizetések</t>
  </si>
  <si>
    <t>Lakosságorientált rendőrségi modell támogatás</t>
  </si>
  <si>
    <t xml:space="preserve"> OMSZ (sürgősségi ellátás) </t>
  </si>
  <si>
    <t>Szakorvosi Rendelőintézet háziorvosi szolgálat</t>
  </si>
  <si>
    <t>Német Nemzetiségi Önkormányzat  részére támogatás</t>
  </si>
  <si>
    <t>K507</t>
  </si>
  <si>
    <t>Működési célú garancia- és kezességvállalásból származó kifizetés államháztartáson kívülre</t>
  </si>
  <si>
    <t>K508</t>
  </si>
  <si>
    <t>Működési célú visszatérítendő támogatások, kölcsönök nyújtása államháztartáson kívülre</t>
  </si>
  <si>
    <t>K509</t>
  </si>
  <si>
    <t>Árkiegészítések, ártámogatások</t>
  </si>
  <si>
    <t>K510</t>
  </si>
  <si>
    <t>Kamattámogatások</t>
  </si>
  <si>
    <t xml:space="preserve">Civil szervezetek működési támogatása </t>
  </si>
  <si>
    <t>Működési célú pénzeszközátadás háztartásoknak (közös ktg bérlakás után)</t>
  </si>
  <si>
    <t>Családi napközi hozzájárulás</t>
  </si>
  <si>
    <t>Tartalékok</t>
  </si>
  <si>
    <t>Távközlési díjak (telefon, internet)</t>
  </si>
  <si>
    <t xml:space="preserve">Ügyvédi, ügygondnoki díjak </t>
  </si>
  <si>
    <t>Támogatási bevételek összesen</t>
  </si>
  <si>
    <t>B1-B2</t>
  </si>
  <si>
    <t>B36125</t>
  </si>
  <si>
    <t>Építésügyi bírság</t>
  </si>
  <si>
    <t>Összesen:</t>
  </si>
  <si>
    <t>Vagyoni típusú adó</t>
  </si>
  <si>
    <t>B34</t>
  </si>
  <si>
    <t>Óvodai étkeztetés</t>
  </si>
  <si>
    <t>Iskolai étkeztetés</t>
  </si>
  <si>
    <t xml:space="preserve">Hosszú lejáratú hitelek, kölcsönök felvétele </t>
  </si>
  <si>
    <t>B8111</t>
  </si>
  <si>
    <t>Pilisvörösvár Város Önkormányzat  2015. évi költségvetése</t>
  </si>
  <si>
    <t>kötelező feladatok</t>
  </si>
  <si>
    <t xml:space="preserve">Egyéb közhatalmi bevételek </t>
  </si>
  <si>
    <t>Egyéb felhalmozási célú támogatások államháztartáson belülre</t>
  </si>
  <si>
    <t xml:space="preserve">Tartalékok-Működési célú </t>
  </si>
  <si>
    <t>Termékek és szolgáltatások adói (Helyi iparűzési adó, gépjármű adó)</t>
  </si>
  <si>
    <t>Vagyoni típusú adó (magánszemélyek kommunális adója)</t>
  </si>
  <si>
    <t>Rovatszám</t>
  </si>
  <si>
    <t>0531113</t>
  </si>
  <si>
    <t>1</t>
  </si>
  <si>
    <t>K311</t>
  </si>
  <si>
    <t>0531114</t>
  </si>
  <si>
    <t>2</t>
  </si>
  <si>
    <t xml:space="preserve">Folyóirat-beszerzés </t>
  </si>
  <si>
    <t>0531119</t>
  </si>
  <si>
    <t>4</t>
  </si>
  <si>
    <t>0531211</t>
  </si>
  <si>
    <t>5</t>
  </si>
  <si>
    <t>K312</t>
  </si>
  <si>
    <t>0531212</t>
  </si>
  <si>
    <t>7</t>
  </si>
  <si>
    <t>Irodaszer-, nyomtatványbeszerzés</t>
  </si>
  <si>
    <t>0531214</t>
  </si>
  <si>
    <t>8</t>
  </si>
  <si>
    <t>Hajtó- és kenőanyag-beszerzés</t>
  </si>
  <si>
    <t>0531215</t>
  </si>
  <si>
    <t>9</t>
  </si>
  <si>
    <t>0531219</t>
  </si>
  <si>
    <t>10</t>
  </si>
  <si>
    <t>K31</t>
  </si>
  <si>
    <t>11</t>
  </si>
  <si>
    <t xml:space="preserve">Készletbeszerzés </t>
  </si>
  <si>
    <t>12</t>
  </si>
  <si>
    <t>K321</t>
  </si>
  <si>
    <t>0532119</t>
  </si>
  <si>
    <t>13</t>
  </si>
  <si>
    <t>0532211</t>
  </si>
  <si>
    <t>14</t>
  </si>
  <si>
    <t>K322</t>
  </si>
  <si>
    <t>K32</t>
  </si>
  <si>
    <t>15</t>
  </si>
  <si>
    <t xml:space="preserve">Kommunikációs szolgáltatások </t>
  </si>
  <si>
    <t>0533111</t>
  </si>
  <si>
    <t>16</t>
  </si>
  <si>
    <t>K331</t>
  </si>
  <si>
    <t xml:space="preserve">Villamosenergia-szolg. díjak </t>
  </si>
  <si>
    <t>0533112</t>
  </si>
  <si>
    <t>17</t>
  </si>
  <si>
    <t>Gázenergia-szolgi.díjak</t>
  </si>
  <si>
    <t>0533114</t>
  </si>
  <si>
    <t>18</t>
  </si>
  <si>
    <t>Víz- és csatornadíjak</t>
  </si>
  <si>
    <t>19</t>
  </si>
  <si>
    <t>053341</t>
  </si>
  <si>
    <t>K334</t>
  </si>
  <si>
    <t>22</t>
  </si>
  <si>
    <t>23</t>
  </si>
  <si>
    <t>24</t>
  </si>
  <si>
    <t>K335</t>
  </si>
  <si>
    <t>0533612</t>
  </si>
  <si>
    <t>26</t>
  </si>
  <si>
    <t>K336</t>
  </si>
  <si>
    <t>0533711</t>
  </si>
  <si>
    <t>28</t>
  </si>
  <si>
    <t>Biztosítási szolgi díjak</t>
  </si>
  <si>
    <t>0533719</t>
  </si>
  <si>
    <t>29</t>
  </si>
  <si>
    <t>30</t>
  </si>
  <si>
    <t>Postaköltség (csekkbefizetés költsége)</t>
  </si>
  <si>
    <t>31</t>
  </si>
  <si>
    <t>32</t>
  </si>
  <si>
    <t>33</t>
  </si>
  <si>
    <t>Üzemorvosi díjak</t>
  </si>
  <si>
    <t>K33</t>
  </si>
  <si>
    <t>34</t>
  </si>
  <si>
    <t xml:space="preserve">Szolgáltatási kiadások </t>
  </si>
  <si>
    <t>0534111</t>
  </si>
  <si>
    <t>35</t>
  </si>
  <si>
    <t>K341</t>
  </si>
  <si>
    <t>0534112</t>
  </si>
  <si>
    <t>36</t>
  </si>
  <si>
    <t>053421</t>
  </si>
  <si>
    <t>37</t>
  </si>
  <si>
    <t>K342</t>
  </si>
  <si>
    <t>K34</t>
  </si>
  <si>
    <t>38</t>
  </si>
  <si>
    <t xml:space="preserve">Kiküldetések, reklám- és propagandakiadások </t>
  </si>
  <si>
    <t>0535211</t>
  </si>
  <si>
    <t>39</t>
  </si>
  <si>
    <t>K353</t>
  </si>
  <si>
    <t>05353122</t>
  </si>
  <si>
    <t>ÁHK kapott kölcsönhöz k. kamat</t>
  </si>
  <si>
    <t>05353129</t>
  </si>
  <si>
    <t>ÁHK egyéb kamat</t>
  </si>
  <si>
    <t>0535512</t>
  </si>
  <si>
    <t>K355</t>
  </si>
  <si>
    <t>0535519</t>
  </si>
  <si>
    <t>Egyéb,különféle dologi kiadások: pl.  továbbképzések</t>
  </si>
  <si>
    <t>K35</t>
  </si>
  <si>
    <t xml:space="preserve">Különféle befizetések és egyéb dologi kiadások </t>
  </si>
  <si>
    <t>K84</t>
  </si>
  <si>
    <t>Hitel-, kölcsöntörlesztés államháztartáson kívülre</t>
  </si>
  <si>
    <t>Megnevezése</t>
  </si>
  <si>
    <t>K41</t>
  </si>
  <si>
    <t>Társadalombiztosítási ellátások</t>
  </si>
  <si>
    <t>K42</t>
  </si>
  <si>
    <t>Természetbeni támogatás (Rendszeres gyermekvédelmi kedvezményhez kapcsolódó)</t>
  </si>
  <si>
    <t>Pénzbeli ellátás + pótlék (régi neve: kiegészítő gyermekvédelmi támogatás)</t>
  </si>
  <si>
    <t>70 éven felüliek karácsonyi ajándékutalványa</t>
  </si>
  <si>
    <t>Családi támogatások</t>
  </si>
  <si>
    <t>K43</t>
  </si>
  <si>
    <t>Pénzbeli kárpótlások, kártérítések</t>
  </si>
  <si>
    <t>K45</t>
  </si>
  <si>
    <t>K46</t>
  </si>
  <si>
    <t>K47</t>
  </si>
  <si>
    <t>Intézményi ellátottak pénzbeli juttatásai</t>
  </si>
  <si>
    <t>K48</t>
  </si>
  <si>
    <t>Köztemetés</t>
  </si>
  <si>
    <t>Egyéb nem intézményi ellátások</t>
  </si>
  <si>
    <t>Cofog</t>
  </si>
  <si>
    <t>011130</t>
  </si>
  <si>
    <t xml:space="preserve">Igazgatási tevékenység </t>
  </si>
  <si>
    <t>013320</t>
  </si>
  <si>
    <t>Köztemető-fenntartási feladatok  (Üzemeltetési díj, vízdíj, karbantartás, állagmegóvás)</t>
  </si>
  <si>
    <t>013350</t>
  </si>
  <si>
    <t>Lakóingatlan üzemeltetése: Önkormányzati ingatlanok dologi kiadásai (energia, karbantartások, javítások, egyéb kiadások)</t>
  </si>
  <si>
    <t>Nem lakóingatlan üzemeltetés (közműdíj, karb.tart. Piac üzemelt. Közmű Továbbszáml.)</t>
  </si>
  <si>
    <t>045160</t>
  </si>
  <si>
    <t>051030</t>
  </si>
  <si>
    <t>064010</t>
  </si>
  <si>
    <t>Közvilágítás</t>
  </si>
  <si>
    <t>066010</t>
  </si>
  <si>
    <t>Zöldterület-kezelés: pl.fakivágás,telepitése, park, közterület gondozás, gyommentesítés, virágosítás, aknázómoly, illegális hulladék, mezőőr</t>
  </si>
  <si>
    <t>066020</t>
  </si>
  <si>
    <t>081030</t>
  </si>
  <si>
    <t>K3 Dologi kiadások összesen</t>
  </si>
  <si>
    <t>Rovat-szám</t>
  </si>
  <si>
    <t>K1</t>
  </si>
  <si>
    <t xml:space="preserve">Személyi juttatások </t>
  </si>
  <si>
    <t>K2</t>
  </si>
  <si>
    <t xml:space="preserve">Munkaadókat terhelő járulékok és szociális hozzájárulási adó                                                                            </t>
  </si>
  <si>
    <t>K3</t>
  </si>
  <si>
    <t xml:space="preserve">Dologi kiadások </t>
  </si>
  <si>
    <t>K4</t>
  </si>
  <si>
    <t>K506</t>
  </si>
  <si>
    <t>Egyéb működési célú támogatások államháztartáson belülre</t>
  </si>
  <si>
    <t>Egyéb működési célú támogatások államháztartáson kívülre</t>
  </si>
  <si>
    <t>K512</t>
  </si>
  <si>
    <t>Tartalékok-általános</t>
  </si>
  <si>
    <t>Tartalékok-Nevesített fejlesztési</t>
  </si>
  <si>
    <t>K5</t>
  </si>
  <si>
    <t xml:space="preserve">Egyéb működési célú kiadások </t>
  </si>
  <si>
    <t>K6</t>
  </si>
  <si>
    <t>K7</t>
  </si>
  <si>
    <t xml:space="preserve">Felújítások </t>
  </si>
  <si>
    <t>K88</t>
  </si>
  <si>
    <t xml:space="preserve">Egyéb felhalmozási célú támogatások államháztartáson kívülre </t>
  </si>
  <si>
    <t>K8</t>
  </si>
  <si>
    <t xml:space="preserve">Egyéb felhalmozási célú kiadások </t>
  </si>
  <si>
    <t>K1-K8</t>
  </si>
  <si>
    <t xml:space="preserve">Költségvetési kiadások </t>
  </si>
  <si>
    <t>K911</t>
  </si>
  <si>
    <t xml:space="preserve">Hitel-, kölcsöntörlesztés államháztartáson kívülre </t>
  </si>
  <si>
    <t>K912</t>
  </si>
  <si>
    <t xml:space="preserve">Belföldi értékpapírok kiadásai </t>
  </si>
  <si>
    <t>K91</t>
  </si>
  <si>
    <t xml:space="preserve">Belföldi finanszírozás kiadásai </t>
  </si>
  <si>
    <t>K92</t>
  </si>
  <si>
    <t xml:space="preserve">Külföldi finanszírozás kiadásai </t>
  </si>
  <si>
    <t>K93</t>
  </si>
  <si>
    <t>Adóssághoz nem kapcsolódó származékos ügyletek kiadásai</t>
  </si>
  <si>
    <t>K9</t>
  </si>
  <si>
    <t>ezer Ft</t>
  </si>
  <si>
    <t>Működési kiadások összesen</t>
  </si>
  <si>
    <t>Felhalmozási kiadások összesen</t>
  </si>
  <si>
    <t>K915</t>
  </si>
  <si>
    <t>Központi, irányító szervi támogatások folyósítása</t>
  </si>
  <si>
    <t>K1. Személyi juttatások</t>
  </si>
  <si>
    <t>K2. Munkaadókat terhelő járulékok és szociális hozzájárulási adó</t>
  </si>
  <si>
    <t>K3. Dologi kiadások</t>
  </si>
  <si>
    <t>K4. Ellátottak pénzbeli juttatásai</t>
  </si>
  <si>
    <t>K5. Egyéb működési célú kiadások</t>
  </si>
  <si>
    <t>K6. Beruházási kiadások</t>
  </si>
  <si>
    <t>K7. Felújítások</t>
  </si>
  <si>
    <t>K8. Egyéb felhalmozási célú kiadások</t>
  </si>
  <si>
    <t>K1-8. Költségvetési kiadások</t>
  </si>
  <si>
    <t>K9. Finanszírozási kiadások</t>
  </si>
  <si>
    <t>Finanszírozási bevételek és kiadások</t>
  </si>
  <si>
    <t xml:space="preserve">Rövid lejáratú hitelek, kölcsönök törlesztése </t>
  </si>
  <si>
    <t>K9113</t>
  </si>
  <si>
    <t>Likviditási célú hitelek, kölcsönök törlesztése pénzügyi vállalkozásnak</t>
  </si>
  <si>
    <t>K9112</t>
  </si>
  <si>
    <t xml:space="preserve">Hosszú lejáratú hitelek, kölcsönök törlesztése </t>
  </si>
  <si>
    <t>K9111</t>
  </si>
  <si>
    <t>Nem veszélyes (települési) hulladék</t>
  </si>
  <si>
    <t>KIADÁSOK ÖSSZESEN (K1-9)</t>
  </si>
  <si>
    <t>B1. Működési célú támogatások államháztartáson belülről</t>
  </si>
  <si>
    <t>B2. Felhalmozási célú támogatások államháztartáson belülről</t>
  </si>
  <si>
    <t>B3. Közhatalmi bevételek</t>
  </si>
  <si>
    <t>B4. Működési bevételek</t>
  </si>
  <si>
    <t>B5. Felhalmozási bevételek</t>
  </si>
  <si>
    <t>B6. Működési célú átvett pénzeszközök</t>
  </si>
  <si>
    <t>B7. Felhalmozási célú átvett pénzeszközök</t>
  </si>
  <si>
    <t>B1-7. Költségvetési bevételek</t>
  </si>
  <si>
    <t>B8. Finanszírozási bevételek</t>
  </si>
  <si>
    <t>BEVÉTELEK ÖSSZESEN (B1-8)</t>
  </si>
  <si>
    <t>1.  melléklet</t>
  </si>
  <si>
    <t>ezer Ft-ban</t>
  </si>
  <si>
    <t>Megnevezés</t>
  </si>
  <si>
    <t>11.  melléklet</t>
  </si>
  <si>
    <t>Pilisvörösvár Tipegő Bölcsőde</t>
  </si>
  <si>
    <t>Bevételek (E Ft)</t>
  </si>
  <si>
    <t>Rovat megnevezése</t>
  </si>
  <si>
    <t>Rovat-
szám</t>
  </si>
  <si>
    <t>Helyi önkormányzatok működésének általános támogatása</t>
  </si>
  <si>
    <t>B111</t>
  </si>
  <si>
    <t>Települési önkormányzatok egyes köznevelési feladatainak támogatása</t>
  </si>
  <si>
    <t>B112</t>
  </si>
  <si>
    <t>Települési önkormányzatok szociális és gyermekjóléti  feladatainak támogatása</t>
  </si>
  <si>
    <t>B113</t>
  </si>
  <si>
    <t>Települési önkormányzatok kulturális feladatainak támogatása</t>
  </si>
  <si>
    <t>B114</t>
  </si>
  <si>
    <t xml:space="preserve">Önkormányzatok működési támogatásai </t>
  </si>
  <si>
    <t>B11</t>
  </si>
  <si>
    <t>Egyéb működési célú támogatások bevételei államháztartáson belülről</t>
  </si>
  <si>
    <t>B16</t>
  </si>
  <si>
    <t>Működési célú támogatások államháztartáson belülről</t>
  </si>
  <si>
    <t>B1</t>
  </si>
  <si>
    <t>Egyéb felhalmozási célú támogatások bevételei államháztartáson belülről</t>
  </si>
  <si>
    <t>B25</t>
  </si>
  <si>
    <t xml:space="preserve">Felhalmozási célú támogatások államháztartáson belülről </t>
  </si>
  <si>
    <t>B2</t>
  </si>
  <si>
    <t>Gépjárműadók</t>
  </si>
  <si>
    <t>B354</t>
  </si>
  <si>
    <t>B36</t>
  </si>
  <si>
    <t xml:space="preserve">Közhatalmi bevételek </t>
  </si>
  <si>
    <t>B3</t>
  </si>
  <si>
    <t>Áru- és készletértékesítés ellenértéke</t>
  </si>
  <si>
    <t>B401</t>
  </si>
  <si>
    <t>Szolgáltatások ellenértéke</t>
  </si>
  <si>
    <t>B402</t>
  </si>
  <si>
    <t>Közvetített szolgáltatások értéke</t>
  </si>
  <si>
    <t>B403</t>
  </si>
  <si>
    <t>Tulajdonosi bevételek</t>
  </si>
  <si>
    <t>B404</t>
  </si>
  <si>
    <t>Ellátási díjak</t>
  </si>
  <si>
    <t>B405</t>
  </si>
  <si>
    <t>Általános forgalmi adó visszatérítése</t>
  </si>
  <si>
    <t>B407</t>
  </si>
  <si>
    <t>Kamatbevételek</t>
  </si>
  <si>
    <t>B408</t>
  </si>
  <si>
    <t xml:space="preserve">Működési bevételek </t>
  </si>
  <si>
    <t>B4</t>
  </si>
  <si>
    <t>Ingatlanok értékesítése</t>
  </si>
  <si>
    <t>B52</t>
  </si>
  <si>
    <t>Egyéb tárgyi eszközök értékesítése</t>
  </si>
  <si>
    <t>B53</t>
  </si>
  <si>
    <t xml:space="preserve">Felhalmozási bevételek </t>
  </si>
  <si>
    <t>B5</t>
  </si>
  <si>
    <t>Egyéb működési célú átvett pénzeszközök</t>
  </si>
  <si>
    <t>B63</t>
  </si>
  <si>
    <t xml:space="preserve">Működési célú átvett pénzeszközök </t>
  </si>
  <si>
    <t>B6</t>
  </si>
  <si>
    <t>Felhalmozási célú visszatérítendő támogatások, kölcsönök visszatérülése államháztartáson kívülről</t>
  </si>
  <si>
    <t>B72</t>
  </si>
  <si>
    <t>Egyéb felhalmozási célú átvett pénzeszközök</t>
  </si>
  <si>
    <t>B73</t>
  </si>
  <si>
    <t xml:space="preserve">Felhalmozási célú átvett pénzeszközök </t>
  </si>
  <si>
    <t>B7</t>
  </si>
  <si>
    <t xml:space="preserve">Költségvetési bevételek </t>
  </si>
  <si>
    <t>B1-B7</t>
  </si>
  <si>
    <t>költségvetési egyenleg  MŰKÖDÉSI</t>
  </si>
  <si>
    <t>költségvetési egyenleg FELHALMOZÁSI</t>
  </si>
  <si>
    <t>Likviditási célú hitelek, kölcsönök felvétele pénzügyi vállalkozástól</t>
  </si>
  <si>
    <t>B8112</t>
  </si>
  <si>
    <t xml:space="preserve">Hitel-, kölcsönfelvétel államháztartáson kívülről </t>
  </si>
  <si>
    <t>B811</t>
  </si>
  <si>
    <t>Előző év költségvetési maradványának igénybevétele MŰKÖDÉSRE</t>
  </si>
  <si>
    <t>B8131</t>
  </si>
  <si>
    <t>Előző év költségvetési maradványának igénybevétele FELHALMOZÁSRA</t>
  </si>
  <si>
    <t xml:space="preserve">Maradvány igénybevétele </t>
  </si>
  <si>
    <t>B813</t>
  </si>
  <si>
    <t>Központi, irányító szervi támogatás</t>
  </si>
  <si>
    <t>B816</t>
  </si>
  <si>
    <t>Betétek megszüntetése</t>
  </si>
  <si>
    <t>B817</t>
  </si>
  <si>
    <t xml:space="preserve">Belföldi finanszírozás bevételei </t>
  </si>
  <si>
    <t>B81</t>
  </si>
  <si>
    <t>Adóssághoz nem kapcsolódó származékos ügyletek bevételei</t>
  </si>
  <si>
    <t>B83</t>
  </si>
  <si>
    <t xml:space="preserve">Finanszírozási bevételek </t>
  </si>
  <si>
    <t>B8</t>
  </si>
  <si>
    <t>Pilisvörösvár Város Önkormányzat költségvetése kötelező és önként vállalt feladat szerinti bontásban</t>
  </si>
  <si>
    <t>Összesen</t>
  </si>
  <si>
    <t>Általános tartalék</t>
  </si>
  <si>
    <t xml:space="preserve">Beruházások </t>
  </si>
  <si>
    <t>Pilisvörösvári Szakorvosi Rendelőintézet költségvetése kötelező és önként vállalt feladat szerinti bontásban</t>
  </si>
  <si>
    <t>Ligeti Cseperedő Óvoda költségvetése kötelező és önként vállalt feladat szerinti bontásban</t>
  </si>
  <si>
    <t>Kötelezettségek megnevezése</t>
  </si>
  <si>
    <t>Köt.vállalás éve</t>
  </si>
  <si>
    <t>Tárgyév előtti kifizetés</t>
  </si>
  <si>
    <t>2017. évi kifizetés</t>
  </si>
  <si>
    <t>Működési célú hiteltörlesztések összesen:</t>
  </si>
  <si>
    <t>Felhalmozási célú hiteltörlesztések</t>
  </si>
  <si>
    <t>Beruházások összesen:</t>
  </si>
  <si>
    <t>MINDÖSSZESEN:</t>
  </si>
  <si>
    <t>BERUHÁZÁSOK</t>
  </si>
  <si>
    <t>Megnevezés:</t>
  </si>
  <si>
    <t>K61 Immateriális javak beszerzése, létesítése</t>
  </si>
  <si>
    <t>Informatika fejlesztési kiadásokra</t>
  </si>
  <si>
    <t>K62 Ingatlanok beszerzése, létesítése</t>
  </si>
  <si>
    <t>K63 Informatikai eszközök beszerzése, létesítése</t>
  </si>
  <si>
    <t>K64 Egyéb tárgyi eszközök beszerzése, létesítése</t>
  </si>
  <si>
    <t>K65 Részesedések beszerzése</t>
  </si>
  <si>
    <t>K66 Meglévő részesedések növeléséhez kapcsolódó kiadások</t>
  </si>
  <si>
    <t xml:space="preserve">K6 Beruházások </t>
  </si>
  <si>
    <t>FELÚJÍTÁSOK</t>
  </si>
  <si>
    <t>Műszaki osztály tetőfelújítás</t>
  </si>
  <si>
    <t>K71 Ingatlanok felújítása</t>
  </si>
  <si>
    <t>K72 Informatikai eszközök felújítása</t>
  </si>
  <si>
    <t xml:space="preserve">K73 Egyéb tárgyi eszközök felújítása </t>
  </si>
  <si>
    <t>K74 Felújítási célú előzetesen felszámított általános forgalmi adó</t>
  </si>
  <si>
    <t xml:space="preserve">K7 Felújítások </t>
  </si>
  <si>
    <t>Fejlesztési célú nevesített tartalékok összesen</t>
  </si>
  <si>
    <t>Működési célú tartalékok összesen</t>
  </si>
  <si>
    <t>Városrehabilitációs tartalék (Bérlakás számla)</t>
  </si>
  <si>
    <t>Nyilvántartási szám</t>
  </si>
  <si>
    <t>Kezességvállalás</t>
  </si>
  <si>
    <t xml:space="preserve">R-ÖKIF/032900/2010/RAIF/KOKJ/001 </t>
  </si>
  <si>
    <t>2018. évi kifizetés</t>
  </si>
  <si>
    <t>Jogcím</t>
  </si>
  <si>
    <t>I.</t>
  </si>
  <si>
    <t>a)</t>
  </si>
  <si>
    <t>Önkormányzati hivatal működésének támogatása -elismert hivatali létszám alapján</t>
  </si>
  <si>
    <t>Önkormányzati hivatal működésének támogatása -beszámítás után</t>
  </si>
  <si>
    <t>b)</t>
  </si>
  <si>
    <t>Település-üzemeltetéshez kapcsolódó feladatellátás támogatása összesen</t>
  </si>
  <si>
    <t>ba) A zöldterület-gazdálkodással kapcsolatos feladatok ellátásának támogatása</t>
  </si>
  <si>
    <t>ba) - V.  A zöldterület-gazdálkodással kapcsolatos feladatok ellátásának támogatása - beszámítás után</t>
  </si>
  <si>
    <t>bb) Közvilágítás fenntartásának támogatása</t>
  </si>
  <si>
    <t>bb) - V.  Közvilágítás fenntartásának támogatása - beszámítás után</t>
  </si>
  <si>
    <t>bc) Köztemető fenntartással kapcsolatos feladatok támogatása</t>
  </si>
  <si>
    <t>bc) - V. Köztemető fenntartással kapcsolatos feladatok támogatása - beszámítás után</t>
  </si>
  <si>
    <t>bd) Közutak fenntartásának támogatása</t>
  </si>
  <si>
    <t>bd) - V. Közutak fenntartásának támogatása -beszámítás után</t>
  </si>
  <si>
    <t>c)</t>
  </si>
  <si>
    <t xml:space="preserve">Egyéb önkormányzati feladatok támogatása </t>
  </si>
  <si>
    <t>Egyéb önkormányzati feladatok támogatása  - beszámítás után</t>
  </si>
  <si>
    <t>d)</t>
  </si>
  <si>
    <t>Lakott külterülettel kapcsolatos feladatok támogatása</t>
  </si>
  <si>
    <t>Lakott külterülettel kapcsolatos feladatok támogatása - beszámítás után</t>
  </si>
  <si>
    <t>V. Info: összes beszámítás</t>
  </si>
  <si>
    <t>A HELYI ÖNKORMÁNYZATOK MŰKÖDÉSÉNEK  TÁMOGATÁSA BESZÁMÍTÁS ÉS KIEGÉSZÍTÉS UTÁN ÖSSZESEN</t>
  </si>
  <si>
    <t>II.</t>
  </si>
  <si>
    <r>
      <t>Óvodapedagógusok, és az óvodapedagógusok nevelő munkáját közvetlenül segítők bértámogatása</t>
    </r>
    <r>
      <rPr>
        <sz val="14"/>
        <rFont val="Times New Roman"/>
        <family val="1"/>
        <charset val="238"/>
      </rPr>
      <t xml:space="preserve"> </t>
    </r>
    <r>
      <rPr>
        <b/>
        <sz val="12"/>
        <rFont val="Times New Roman"/>
        <family val="1"/>
        <charset val="238"/>
      </rPr>
      <t>összesen</t>
    </r>
    <r>
      <rPr>
        <sz val="14"/>
        <rFont val="Times New Roman"/>
        <family val="1"/>
        <charset val="238"/>
      </rPr>
      <t xml:space="preserve">
</t>
    </r>
  </si>
  <si>
    <t>Óvodapedagógusok támogatása összesen</t>
  </si>
  <si>
    <t>pótlólagos összeg</t>
  </si>
  <si>
    <t>Pedagógus II. kategóriás óvónők kiegészítő támogatása</t>
  </si>
  <si>
    <r>
      <t>Óvodaműködtetési támogatás</t>
    </r>
    <r>
      <rPr>
        <sz val="14"/>
        <rFont val="Times New Roman"/>
        <family val="1"/>
        <charset val="238"/>
      </rPr>
      <t xml:space="preserve"> </t>
    </r>
    <r>
      <rPr>
        <b/>
        <sz val="12"/>
        <rFont val="Times New Roman"/>
        <family val="1"/>
        <charset val="238"/>
      </rPr>
      <t>összesen</t>
    </r>
  </si>
  <si>
    <t>gyermekek nevelése a napi 8 órát nem éri el</t>
  </si>
  <si>
    <t>gyermekek nevelése a napi 8 órát eléri vagy meghaladja</t>
  </si>
  <si>
    <t>A TELEPÜLÉSI ÖNKORMÁNYZATOK EGYES KÖZNEVELÉSI  FELADATAINAK TÁMOGATÁSA ÖSSZESEN</t>
  </si>
  <si>
    <t>III.</t>
  </si>
  <si>
    <t>A települési önkormányzatok szociális feladatainak egyéb támogatása</t>
  </si>
  <si>
    <t>Egyes szociális és gyermekjóléti feladatok támogatása összesen</t>
  </si>
  <si>
    <t>Irányító szervi támogatás</t>
  </si>
  <si>
    <t>Helyiség bérlet és egyéb bevételek</t>
  </si>
  <si>
    <t>Városi Könyvtár egyéb bevétele</t>
  </si>
  <si>
    <t>Működési célú támogatások bevételei államháztartáson belülről</t>
  </si>
  <si>
    <t>Felhalmozási célú támogatások bevételei államháztartáson belülről</t>
  </si>
  <si>
    <t>K1-K5</t>
  </si>
  <si>
    <t>K6-K8</t>
  </si>
  <si>
    <t>B1-B8</t>
  </si>
  <si>
    <t xml:space="preserve">KIADÁSOK ÖSSZESEN </t>
  </si>
  <si>
    <t>Tartalomjegyzék</t>
  </si>
  <si>
    <t>Melléklet</t>
  </si>
  <si>
    <t>Cím</t>
  </si>
  <si>
    <t xml:space="preserve">1. melléklet </t>
  </si>
  <si>
    <t>Pilisvörösvár Város Önkormányzat működési, felhalmozási célú bevételi és kiadási előirányzatok bemutatása</t>
  </si>
  <si>
    <t xml:space="preserve">3. melléklet </t>
  </si>
  <si>
    <t xml:space="preserve">4. melléklet </t>
  </si>
  <si>
    <t xml:space="preserve">5. melléklet </t>
  </si>
  <si>
    <t xml:space="preserve">6. melléklet </t>
  </si>
  <si>
    <t xml:space="preserve">7. melléklet </t>
  </si>
  <si>
    <t xml:space="preserve">8. melléklet </t>
  </si>
  <si>
    <t xml:space="preserve">9. melléklet </t>
  </si>
  <si>
    <t xml:space="preserve">10. melléklet </t>
  </si>
  <si>
    <t xml:space="preserve">11. melléklet </t>
  </si>
  <si>
    <t xml:space="preserve">12. melléklet </t>
  </si>
  <si>
    <t xml:space="preserve">13. melléklet </t>
  </si>
  <si>
    <t xml:space="preserve">14. melléklet </t>
  </si>
  <si>
    <t xml:space="preserve">15. melléklet </t>
  </si>
  <si>
    <t xml:space="preserve">16. melléklet </t>
  </si>
  <si>
    <t xml:space="preserve">17. melléklet </t>
  </si>
  <si>
    <t>Pilisvörösvár Város Önkormányzata finanszírozási bevételei és kiadásai</t>
  </si>
  <si>
    <t xml:space="preserve">18. melléklet </t>
  </si>
  <si>
    <t xml:space="preserve">19. melléklet </t>
  </si>
  <si>
    <t xml:space="preserve">20. melléklet </t>
  </si>
  <si>
    <t xml:space="preserve">21. melléklet </t>
  </si>
  <si>
    <t xml:space="preserve">22. melléklet </t>
  </si>
  <si>
    <t xml:space="preserve">23. melléklet </t>
  </si>
  <si>
    <t xml:space="preserve">24. melléklet </t>
  </si>
  <si>
    <t>Pilisvörösvár Város Önkormányzata engedélyezett létszáma költségvetési szervenként</t>
  </si>
  <si>
    <t xml:space="preserve">25. melléklet </t>
  </si>
  <si>
    <t xml:space="preserve">26. melléklet </t>
  </si>
  <si>
    <t xml:space="preserve">27. melléklet </t>
  </si>
  <si>
    <t xml:space="preserve">28. melléklet </t>
  </si>
  <si>
    <t xml:space="preserve">29. melléklet </t>
  </si>
  <si>
    <t>Kamat összesen</t>
  </si>
  <si>
    <t>Önállóan működő intézmények:</t>
  </si>
  <si>
    <t>óvoda-pedagógus, szakalkalmazott</t>
  </si>
  <si>
    <t xml:space="preserve">egyéb köz-alkalmazott </t>
  </si>
  <si>
    <t>összes státusz</t>
  </si>
  <si>
    <t>Pilisvörösvári Német Nemzetiségi Óvoda</t>
  </si>
  <si>
    <t>Ligeti Cseperedő Német Nemzetiségi Óvoda</t>
  </si>
  <si>
    <t>Művészetek Háza</t>
  </si>
  <si>
    <t>összesen:</t>
  </si>
  <si>
    <t>GESZ</t>
  </si>
  <si>
    <t>közalkalmazott</t>
  </si>
  <si>
    <t>egyéb</t>
  </si>
  <si>
    <t>Szakorvosi Rendelőintézet</t>
  </si>
  <si>
    <t>Szakorvosi Rendelőintézet- teljes munkaidős</t>
  </si>
  <si>
    <t>ebből: védőnői szolgálat:</t>
  </si>
  <si>
    <t>Intézmények mindösszesen:</t>
  </si>
  <si>
    <t>Egyéb dolg.</t>
  </si>
  <si>
    <t>Összes</t>
  </si>
  <si>
    <t xml:space="preserve">Polgármesteri Hivatal </t>
  </si>
  <si>
    <t>*</t>
  </si>
  <si>
    <t>Önkormányzat</t>
  </si>
  <si>
    <t>Foglalkoztatotti létszám mindösszesen</t>
  </si>
  <si>
    <t>Gépjárműadó</t>
  </si>
  <si>
    <t xml:space="preserve">Január </t>
  </si>
  <si>
    <t>Február</t>
  </si>
  <si>
    <t>Március</t>
  </si>
  <si>
    <t>Április</t>
  </si>
  <si>
    <t xml:space="preserve">Május </t>
  </si>
  <si>
    <t>Június</t>
  </si>
  <si>
    <t>Július</t>
  </si>
  <si>
    <t>Augusztus</t>
  </si>
  <si>
    <t>Szeptember</t>
  </si>
  <si>
    <t xml:space="preserve">Október </t>
  </si>
  <si>
    <t>November</t>
  </si>
  <si>
    <t xml:space="preserve">December </t>
  </si>
  <si>
    <t>Átvett pénzeszközök</t>
  </si>
  <si>
    <t>Támogatás</t>
  </si>
  <si>
    <t>Hitel,</t>
  </si>
  <si>
    <t>Felhalmozási bevétel</t>
  </si>
  <si>
    <t>Bevételek összesen:</t>
  </si>
  <si>
    <t>Kiadások:</t>
  </si>
  <si>
    <t>Müködési kiadások</t>
  </si>
  <si>
    <t>Adósságszolgálat</t>
  </si>
  <si>
    <t>Felújitási kiadások</t>
  </si>
  <si>
    <t>Fejlesztési kiadások</t>
  </si>
  <si>
    <t>Tartalék</t>
  </si>
  <si>
    <t>Kiadások összesen :</t>
  </si>
  <si>
    <t>Egyenleg</t>
  </si>
  <si>
    <t>Hónap</t>
  </si>
  <si>
    <t>Polgármesteri Hivatal</t>
  </si>
  <si>
    <t>Ligeti Cseperedő Óvoda</t>
  </si>
  <si>
    <t>ebből egyéb dologi kiadásra</t>
  </si>
  <si>
    <t>január</t>
  </si>
  <si>
    <t>február</t>
  </si>
  <si>
    <t>március</t>
  </si>
  <si>
    <t>április</t>
  </si>
  <si>
    <t>május</t>
  </si>
  <si>
    <t>június</t>
  </si>
  <si>
    <t>július</t>
  </si>
  <si>
    <t>augusztus</t>
  </si>
  <si>
    <t>szeptember</t>
  </si>
  <si>
    <t>október</t>
  </si>
  <si>
    <t>november</t>
  </si>
  <si>
    <t>december</t>
  </si>
  <si>
    <t>Lakosság részére lakásépítéshez, lakásfelújításhoz nyújtott kölcsönök elengedésének összege</t>
  </si>
  <si>
    <t>Bevétel kedvezmény nélkül</t>
  </si>
  <si>
    <t>Adott kedvezmény</t>
  </si>
  <si>
    <t>Megjegyzés/hivatkozás</t>
  </si>
  <si>
    <t>Kölcsönök elengedése összesen</t>
  </si>
  <si>
    <t>2016. évi Eredeti bevételi előirányzat Összesen</t>
  </si>
  <si>
    <t>2016. évi Konszolidált bevétel eredeti előirányzat</t>
  </si>
  <si>
    <t>2016. évi Eredeti kiadási előirányzat Összesen</t>
  </si>
  <si>
    <t>2016. évi Konszolidált kiadási eredeti előirányzat</t>
  </si>
  <si>
    <t>Önkormányzat 2016. évi eredeti előirányzat</t>
  </si>
  <si>
    <t>Polgármesteri Hivatal 2016. évi eredeti előirányzat</t>
  </si>
  <si>
    <t>Szakorvosi Rendelőintézet 2016. évi eredeti előirányzat</t>
  </si>
  <si>
    <t>GESZ és intézményei   2016. évi eredeti előirányzat</t>
  </si>
  <si>
    <t>2016. évi             Eredeti előirányzat Összesen</t>
  </si>
  <si>
    <t>2016. évi            Konszolidált eredeti előirányzat</t>
  </si>
  <si>
    <t>GESZ 2016. évi eredeti előirányzat</t>
  </si>
  <si>
    <t>2019.</t>
  </si>
  <si>
    <t>Ellátottak térítési díjának, illetve kártérítésének méltányossági alapon történő elengedésének összege</t>
  </si>
  <si>
    <t>Térítési díj kedveznények összesen</t>
  </si>
  <si>
    <t>Helyiségek, eszközök hasznosításából származó bevételből nyújtott kedvezmény, mentesség összege</t>
  </si>
  <si>
    <t>Adott kedvezmény havi összege</t>
  </si>
  <si>
    <t>gyógypedagógia, hitoktatás</t>
  </si>
  <si>
    <t>hitoktatás</t>
  </si>
  <si>
    <t>Egyesületek és  általános iskolák részére</t>
  </si>
  <si>
    <t>Bérleti díj kedveznények összesen</t>
  </si>
  <si>
    <t>Egyéb nyújtott kedvezmény vagy kölcsön elengedésének összege.</t>
  </si>
  <si>
    <t>Egyéb kedvezmények összesen</t>
  </si>
  <si>
    <t xml:space="preserve">Hosszú lejáratú hitelek felvétele </t>
  </si>
  <si>
    <t xml:space="preserve">Belföldi értékpapírok bevételei </t>
  </si>
  <si>
    <t>B812</t>
  </si>
  <si>
    <t xml:space="preserve">Külföldi finanszírozás bevételei </t>
  </si>
  <si>
    <t>B82</t>
  </si>
  <si>
    <t xml:space="preserve">Egyéb felhalmozási célú támogatások államháztartáson belülre </t>
  </si>
  <si>
    <t>Elvonások és befizetések bevételei</t>
  </si>
  <si>
    <t>B12</t>
  </si>
  <si>
    <t xml:space="preserve">Vagyoni tipusú adók </t>
  </si>
  <si>
    <t xml:space="preserve">Termékek és szolgáltatások adói </t>
  </si>
  <si>
    <t xml:space="preserve">Működési bevételek és működési kiadások egyenlege </t>
  </si>
  <si>
    <t xml:space="preserve">Felhalmozási bevételek és a felhalmozási kiadások egyenlege </t>
  </si>
  <si>
    <t>ÖSSZEVONT ELŐIRÁNYZATOK (ÖNKORMÁNYZAT ÉS KÖLTSÉGVETÉSI SZERVEI ÖSSZESEN)</t>
  </si>
  <si>
    <t>2017.</t>
  </si>
  <si>
    <t>2018.</t>
  </si>
  <si>
    <t xml:space="preserve">   -  Közművelődési érdekeltségnövelő támogatás pályázati önrész</t>
  </si>
  <si>
    <t xml:space="preserve">   - Vörösvár Napok kiadásai</t>
  </si>
  <si>
    <t xml:space="preserve">   - Egyéb Városi rendezvények és nem bevételes rendezvények kiadásai</t>
  </si>
  <si>
    <t xml:space="preserve">   - Egyéb bevételes rendezvények kiadásai</t>
  </si>
  <si>
    <t>K6-K7</t>
  </si>
  <si>
    <t>KIADÁSOK MINDÖSSZESEN (K1-9)</t>
  </si>
  <si>
    <t>BEVÉTELEK MINDÖSSZESEN (B1-8)</t>
  </si>
  <si>
    <t>Egyéb működési célú kiadások összesen</t>
  </si>
  <si>
    <t>Működési célú pénzeszközátvétel egyéb civil szervezetektől (Zsidótemető)</t>
  </si>
  <si>
    <t>Helyi önkormányzatok és költségvetési szerveik részére</t>
  </si>
  <si>
    <t>Köt.vállalás összege</t>
  </si>
  <si>
    <t>Pilisvörösvár Város Önkormányzat működési és felhalmozási bevételei</t>
  </si>
  <si>
    <t>Szociális étkeztetés</t>
  </si>
  <si>
    <t xml:space="preserve">Partnerkapcsolatok költségei </t>
  </si>
  <si>
    <t>Felhalmozási célú pénzeszközátvétel háztartásoktól (első lakáshoz jutók kölcsönének visszatérülése)</t>
  </si>
  <si>
    <t>Felhalmozási célú pénzeszközátvétel Csatornatársulattól</t>
  </si>
  <si>
    <t>Bölcsőde berendezése</t>
  </si>
  <si>
    <t>Jóteljesítési garanciák</t>
  </si>
  <si>
    <t>Kálvária u. úttervezése</t>
  </si>
  <si>
    <r>
      <t>Óvodapedagógusok nevelő munkáját közvetlenül segítők támogatása</t>
    </r>
    <r>
      <rPr>
        <i/>
        <sz val="14"/>
        <rFont val="Times New Roman"/>
        <family val="1"/>
        <charset val="238"/>
      </rPr>
      <t xml:space="preserve"> </t>
    </r>
  </si>
  <si>
    <t>Az Önkormányzat adott évi saját bevételeinek 50 %-a</t>
  </si>
  <si>
    <t>Az önkormányzat adósságot keletkeztető ügyletből származó tárgyévi összes fizetési kötelezettsége az adósságot keletkeztető ügylet futamidejének végéig egyik évben sem haladja meg az önkormányzat adott évi saját bevételeinek 50%-át.</t>
  </si>
  <si>
    <t>Városi rendezvények és partnerkapcsolatok költségei</t>
  </si>
  <si>
    <t xml:space="preserve">Pilisvörösvár Város Önkormányzat működési és felhalmozási célú kiadások részletes bemutatása </t>
  </si>
  <si>
    <t xml:space="preserve">Pilisvörösvár Város Önkormányzat működési és felhalmozási célú bevételek részletes bemutatása </t>
  </si>
  <si>
    <t xml:space="preserve">2/1. melléklet </t>
  </si>
  <si>
    <t xml:space="preserve">2/2. melléklet </t>
  </si>
  <si>
    <t>14. melléklet</t>
  </si>
  <si>
    <r>
      <t xml:space="preserve">Rehab. fogl. </t>
    </r>
    <r>
      <rPr>
        <b/>
        <sz val="12"/>
        <rFont val="Times New Roman"/>
        <family val="1"/>
        <charset val="238"/>
      </rPr>
      <t>(részmunkaidős)</t>
    </r>
  </si>
  <si>
    <t>31. melléklet</t>
  </si>
  <si>
    <t>Maradvány igénybevétel</t>
  </si>
  <si>
    <t>Függő, átfutó, kiegyenlítő bevételek</t>
  </si>
  <si>
    <t>Helyi adónál, gépjárműadónál biztosított kedvezmény, mentesség összege adónemenként</t>
  </si>
  <si>
    <t>Mentes az adó megfizetése alól, aki a tárgyév január 01-én Pilisvörösváron rendszeres gyermekvédelmi kedvezményre jogosult.</t>
  </si>
  <si>
    <t>Mentes egy telekre az adó megfizetése alól az az adóalany, akinek a telkét valamilyen természetes választóvonal (patak, árok, stb.), vagy vasútvonal, vagy út céljára leválasztott, azonban közterülethez nem csatlakozó, így közútként nem használható terület kettéosztja, s emiatt az ingatlanok tulajdonosa az ingatlanokat nem tudja összevonni.</t>
  </si>
  <si>
    <t>Magánszemélyek kommunális adója összesen:</t>
  </si>
  <si>
    <t>Mozgáskorlátozottak támogatása</t>
  </si>
  <si>
    <t>Adókedvezmények összesen:</t>
  </si>
  <si>
    <t>Pilisvörösvár Város Önkormányzata ellátottak pénzbeli juttatásai, szociális és gyermekjóléti pénzbeli és természetbeni juttatások előirányzata</t>
  </si>
  <si>
    <t>096015</t>
  </si>
  <si>
    <t>Támogatás összege             2016</t>
  </si>
  <si>
    <t xml:space="preserve">a) </t>
  </si>
  <si>
    <t xml:space="preserve">b) </t>
  </si>
  <si>
    <t xml:space="preserve">c) </t>
  </si>
  <si>
    <t xml:space="preserve">d) </t>
  </si>
  <si>
    <t>I.  A HELYI ÖNKORMÁNYZATOK MŰKÖDÉSÉNEK ÁLTALÁNOS TÁMOGATÁSA</t>
  </si>
  <si>
    <t>II.  A TELEPÜLÉSI ÖNKORMÁNYZATOK EGYES KÖZNEVELÉSI FELADATAINAK TÁMOGATÁSA</t>
  </si>
  <si>
    <t>A köznevelési intézmények működtetéséhez kapcsolódó támogatás</t>
  </si>
  <si>
    <t>III.  A TELEPÜLÉSI ÖNKORMÁNYZATOK SZOCIÁLIS, GYERMEKJÓLÉTI ÉS GYERMEKÉTKEZTETÉSI FELADATAINAK TÁMOGATÁSA</t>
  </si>
  <si>
    <t>j)</t>
  </si>
  <si>
    <t>(1) bölcsődei ellátás - nem fogyatékos, nem hátrányos helyzetű gyermek</t>
  </si>
  <si>
    <t>A rászoruló gyermekek intézményen kívüli szünidei étkeztetésének támogatása</t>
  </si>
  <si>
    <t xml:space="preserve"> IV.  A TELEPÜLÉSI ÖNKORMÁNYZATOK KULTURÁLIS FELADATAINAK TÁMOGATÁSA </t>
  </si>
  <si>
    <t xml:space="preserve">Települési önkormányzatok támogatása a nyilvános könyvtári ellátási és a közművelődési feladatokhoz </t>
  </si>
  <si>
    <t>Település-üzemeltetéshez kapcsolódó feladatellátás támogatása összesen - beszámítás után</t>
  </si>
  <si>
    <t>Család- és gyermekjóléti központ</t>
  </si>
  <si>
    <t>Család- és gyermekjóléti szolgálat</t>
  </si>
  <si>
    <t>közmunkások bruttó bére:</t>
  </si>
  <si>
    <t>közfoglalkoztatottak száma:</t>
  </si>
  <si>
    <t>támogatási százalék</t>
  </si>
  <si>
    <t>hónapok száma:</t>
  </si>
  <si>
    <t>79155/105000=</t>
  </si>
  <si>
    <t>111000*0,715761905=</t>
  </si>
  <si>
    <t>Bérleti díjak (sportpálya, műfüves pálya, közterület, horgászbódék)</t>
  </si>
  <si>
    <t>Államháztartáson belüli megelőlegezések visszafizetése</t>
  </si>
  <si>
    <t>K914</t>
  </si>
  <si>
    <t>ÁHB megelőlegezések</t>
  </si>
  <si>
    <t>B814</t>
  </si>
  <si>
    <t xml:space="preserve">PUFC műfűvespálya műfűcseréje (hozzájárulás) </t>
  </si>
  <si>
    <t>Közutak, hidak, alagutak üzem. (Karbantartás: Útkátyúzás Vízelvezetés, murvázás, kátyuzás, síkosságmentesítés +só )</t>
  </si>
  <si>
    <t>052020</t>
  </si>
  <si>
    <t>Szennyvíz gyűjtése, tisztítása</t>
  </si>
  <si>
    <t>Időskorúak átmeneti ellátása (Átmeneti Gondozóház)</t>
  </si>
  <si>
    <t>0532112</t>
  </si>
  <si>
    <t xml:space="preserve">0533719 főkönyvi számon: </t>
  </si>
  <si>
    <t>Foglalkoztatással, munkanélküliséggel kapcsolatos ellátások(Járáshoz átkerült) MEGSZŰNT</t>
  </si>
  <si>
    <t>Lakhatással kapcsolatos ellátások (átalakult települési támogatássá) MEGSZŰNT</t>
  </si>
  <si>
    <t>Települési támogatások - Gyógyszerkiadások viseléséhez</t>
  </si>
  <si>
    <t>2019. évi kifizetés</t>
  </si>
  <si>
    <t>Pilisvörösvári Tipegő Bölcsöde</t>
  </si>
  <si>
    <t>Időskorúak átmeneti ellátása</t>
  </si>
  <si>
    <t>Fogyatékkal élők nappali ellátása (ÉNO)</t>
  </si>
  <si>
    <t>Idősek nappali ellátása (Klub)</t>
  </si>
  <si>
    <t>Vörösvári Napok bevételei</t>
  </si>
  <si>
    <t>Egyéb rendezvények</t>
  </si>
  <si>
    <t>Ellátási díjak (bölcsődei gondozási díj, időszakos gyermekfelügyelet)</t>
  </si>
  <si>
    <t>Beruházások (kis értékű tárgyi eszköz beszerzés)</t>
  </si>
  <si>
    <t>Egyéb szakmai anyag (pl.:számítástechnikai készletek, jogtár)</t>
  </si>
  <si>
    <t>Egyéb üzemeltetési, fenntartási anyagok, készlet (tisztítószer, karbantartási anyag, osztály igények)</t>
  </si>
  <si>
    <t>053351</t>
  </si>
  <si>
    <t>Egyéb üzemeltetési, fenntartási szolgáltatások (tisztíttatások,postai fiókbérlet, fénymásolás)</t>
  </si>
  <si>
    <t>K33714</t>
  </si>
  <si>
    <t>K33719</t>
  </si>
  <si>
    <t>K33711</t>
  </si>
  <si>
    <t>Reklám kiadások, Televíziós műsorszolgáltatás,(Pilis TV), hírdetések (elektronikus és nyomtatott)</t>
  </si>
  <si>
    <t>RKO</t>
  </si>
  <si>
    <t>Euribor</t>
  </si>
  <si>
    <t>Pilisvörösvári Német Nemzetiségi Óvoda béremelés tartalék</t>
  </si>
  <si>
    <t>Pilisvörösvári Tipegő Bölcsőde béremelés tartalék</t>
  </si>
  <si>
    <t>Egy különféle inf szolg (informatikus foglalkoztatása, honlapszerkesztés, karbantartás)</t>
  </si>
  <si>
    <t>Munkaruha</t>
  </si>
  <si>
    <t xml:space="preserve">Élelmiszer-beszerzés  </t>
  </si>
  <si>
    <t>kamat 3 havi Euribor+RKO1+1,25 % (2,75 %)</t>
  </si>
  <si>
    <t xml:space="preserve">Fő u. 122. felújítása, fizikoterápia kialakítása </t>
  </si>
  <si>
    <t>Kisértékű tárgyi eszközök</t>
  </si>
  <si>
    <t>Hosszú lejáratú hitelek felvétele</t>
  </si>
  <si>
    <t>Pilisvörösvári Tipegő Bölcsőde</t>
  </si>
  <si>
    <t>infláció</t>
  </si>
  <si>
    <t>Finanszírozás</t>
  </si>
  <si>
    <t>Dologi</t>
  </si>
  <si>
    <t>vállalkozási tevékenység</t>
  </si>
  <si>
    <t>Egyéb  díjak: ( pl.szakértőidíjak,közbeszerzési tanácsadó, belső ellenőr, könyvvizsgáló, munkavédelem, közbesz.ref)</t>
  </si>
  <si>
    <t>Számítástechnikai szoftverekhez, adatbázisokhoz k. kiadások (jogszabálykövetés, tulajdoni lap, helyszínrajz, jogtár)</t>
  </si>
  <si>
    <t>Rovatsz.</t>
  </si>
  <si>
    <t>Pályázat bevételek</t>
  </si>
  <si>
    <t>Szociális Intézményfenntartó Társulás által ellátott szociális feladatokhoz adott hozzájárulás</t>
  </si>
  <si>
    <t>Szociális Intézményfenntartó Társulás által ellátott szociális feladatokra az állami támogatás átadása</t>
  </si>
  <si>
    <t>Szociális Intézményfenntartó Társulás részére hozzájárulás a Család- és Gyermekjóléti Központ által ellátott feladatokra</t>
  </si>
  <si>
    <t>Ssz.</t>
  </si>
  <si>
    <t>Szociális Intézményfenntartó Társulás részére a Család- és Gyermekjóléti Központ által ellátott feladatokra az állami támogatás átadása</t>
  </si>
  <si>
    <t>K513</t>
  </si>
  <si>
    <t>Csatornahálózat és szennyvíztisztító telep felújítási és karbantartási tartalék</t>
  </si>
  <si>
    <t>Pilisvörösvári Német Nemzetiségi Óvoda fejlesztési tartalék</t>
  </si>
  <si>
    <t>Ligeti Cseperedő Német Nemzetiségi Óvoda fejlesztési tartalék</t>
  </si>
  <si>
    <t>Ligeti Cseperedő Német Nemzetiségi Óvoda béremelés tartalék</t>
  </si>
  <si>
    <t>Művészetek Háza fejlesztési tartalék</t>
  </si>
  <si>
    <t>Pilisvörösvári Tipegő Bölcsőde fejlesztési tartalék</t>
  </si>
  <si>
    <t>Díjak egyéb befizetések kiadásai (jogdíj, számlavezetési díj, tagdíj, engedélyeztetés, cégautó adó)</t>
  </si>
  <si>
    <t>Pilisvörösvár Tipegő Bölcsőde költségvetése kötelező és önként vállalt feladat szerinti bontásban</t>
  </si>
  <si>
    <t>Pilisvörösvár Város Önkormányzata átvett pénzeszközei</t>
  </si>
  <si>
    <t>Pilisvörösvár Város Önkormányzata egyéb működési és felhalmozási célú kiadásai (támogatásértékű kiadások és átadott pénzeszközök)</t>
  </si>
  <si>
    <t>Pilisvörösvár Város Önkormányzata tartalékai</t>
  </si>
  <si>
    <t>Pilisvörösvár Város Önkormányzata több éves fejlesztési célú elkötelezettségei</t>
  </si>
  <si>
    <t>Pilisvörösvár Város Önkormányzata közvetett támogatásai</t>
  </si>
  <si>
    <t>BEVÉTELEK</t>
  </si>
  <si>
    <t xml:space="preserve">KIADÁSOK </t>
  </si>
  <si>
    <t>Kultúr Büfé bevétele</t>
  </si>
  <si>
    <t>Vörösvári Újság (eladás)</t>
  </si>
  <si>
    <t>Vörösvári Újság (hírdetési bevételei)</t>
  </si>
  <si>
    <t>KIADÁSOK</t>
  </si>
  <si>
    <t>13. melléklet</t>
  </si>
  <si>
    <t>Ft</t>
  </si>
  <si>
    <t>Belföldi, kiküldetés, útiköltség elszám.</t>
  </si>
  <si>
    <t>Külföldi, kiküldetés, útiköltség elszám.</t>
  </si>
  <si>
    <t>Szakkönyvbeszerzés</t>
  </si>
  <si>
    <t>Áfabefizetés</t>
  </si>
  <si>
    <t>Pályázati önrész tartalék</t>
  </si>
  <si>
    <t>Kötelezettséggel terhelt maradvány tartaléka</t>
  </si>
  <si>
    <t>32. melléklet</t>
  </si>
  <si>
    <t>Pilisvörösvár Város Önkormányzata felhalmozási (beruházási) kiadásai feladatonként</t>
  </si>
  <si>
    <t>Pilisvörösvár Város Önkormányzata felhalmozási (felújítási) kiadásai feladatonként</t>
  </si>
  <si>
    <t>Friderich Schiller Gimnázium fejlesztési tartalék</t>
  </si>
  <si>
    <t>MFB-s fejlesztési célhitel (Raiffeisen Bank Zrt.)</t>
  </si>
  <si>
    <t>Pilisvörösvári Német Nemzetiségi Óvoda költségvetése kötelező és önként vállalt feladat szerinti bontásban</t>
  </si>
  <si>
    <t>Művészetek Háza költségvetése kötelező, önként vállalt és vállakozási feladat szerinti bontásban</t>
  </si>
  <si>
    <t>12. melléklet</t>
  </si>
  <si>
    <t>15. melléklet</t>
  </si>
  <si>
    <t>B75</t>
  </si>
  <si>
    <t>Jóteljesítési garancia</t>
  </si>
  <si>
    <t>Előző évi elszámolásból adódó kifizetések</t>
  </si>
  <si>
    <t xml:space="preserve">Egy különféle kommunikációs szolg </t>
  </si>
  <si>
    <t>3</t>
  </si>
  <si>
    <t>6</t>
  </si>
  <si>
    <t>20</t>
  </si>
  <si>
    <t>21</t>
  </si>
  <si>
    <t>Deviza átváltási jutalék</t>
  </si>
  <si>
    <t>K354</t>
  </si>
  <si>
    <t>0535411</t>
  </si>
  <si>
    <t>ÁHB megelőlegezések visszafizetése</t>
  </si>
  <si>
    <t>Út, autópálya építése</t>
  </si>
  <si>
    <t>045120</t>
  </si>
  <si>
    <t>Ligeti Cseperedő Óvoda              2016. év eredeti előirányzat</t>
  </si>
  <si>
    <t>Pilisvörösvári          Német Nemzetiségi  Óvoda             2016. év eredeti előirányzat</t>
  </si>
  <si>
    <t>Művészetek Háza                        2016. év eredeti előirányzat</t>
  </si>
  <si>
    <t>GESZ                     2016. év eredeti előirányzat</t>
  </si>
  <si>
    <t>Pilisvörösvár Tipegő Bölcsőde 2016. év eredeti előirányzat</t>
  </si>
  <si>
    <t xml:space="preserve"> Gesz és intézményei      2016. évi előirányzat összesen eredeti előirányzat</t>
  </si>
  <si>
    <t>102031, 102030</t>
  </si>
  <si>
    <t>102025, 102030</t>
  </si>
  <si>
    <t>Előző évhez kapcs. Műk. Bevétel visszautalása</t>
  </si>
  <si>
    <t>Család és gyermek jóléti központi támogatásból épület felújítás</t>
  </si>
  <si>
    <t>Templom Téri  Általános Iskola és a Német Nemzetiségi Általános Iskola épülete villámvédelmi rendszerének felújítása</t>
  </si>
  <si>
    <t>40</t>
  </si>
  <si>
    <t>41</t>
  </si>
  <si>
    <t>42</t>
  </si>
  <si>
    <t>Irányító szerv javára teljesített egyéb befiz. (Pénzmaradvány visszautalás)</t>
  </si>
  <si>
    <t>a Báthory utca és a Szent István utca szilárd burkolatának, valamint a Szabadság utcai járda felújítása</t>
  </si>
  <si>
    <t>Őr-hegy–Bányatavak, a Hősök tere–Háziréti-patak csapadékvíz-elvezetés vízjogi engedélyes és kiviteli tervei</t>
  </si>
  <si>
    <t>Késedelmi kamat, behajtási költségátalány</t>
  </si>
  <si>
    <t>0535419</t>
  </si>
  <si>
    <t>43</t>
  </si>
  <si>
    <t>Egyéb különféle pénzügyi műveletek kiadása</t>
  </si>
  <si>
    <t>062010</t>
  </si>
  <si>
    <t>Településfejlesztés igazgatása</t>
  </si>
  <si>
    <t>Támogatás a Városi Napos Oldal Szociális Központ udvarán lévő padlóburkolat cseréjére</t>
  </si>
  <si>
    <t>K513 Tartalékok összesen</t>
  </si>
  <si>
    <t>Zöldterület kezelés (MAZSIHISZ, parkgondozás)</t>
  </si>
  <si>
    <t>a Friedrich Schiller Gimnázium kerítésének átépítése</t>
  </si>
  <si>
    <t>091140</t>
  </si>
  <si>
    <t>Óvodai nevelés, ellátás működtetési feladatai</t>
  </si>
  <si>
    <t>053020</t>
  </si>
  <si>
    <t>Szennyeződésmentesítési tevékenységek</t>
  </si>
  <si>
    <t>091220,092111</t>
  </si>
  <si>
    <t>Köznevelési intézmény 1-4. évfolyamán tanulók nevelésével, oktatásával összefüggő működtetési feladatok, Köznevelési intézményben tanulók nappali rendszerű nevelésének, oktatásának szakmai feladatai 5-8. évfolyamon</t>
  </si>
  <si>
    <t>K89</t>
  </si>
  <si>
    <t>Egyéb felhalmozási célú támogatások államháztartáson kivülre</t>
  </si>
  <si>
    <t>Egyéb felhalmozási célú támogatások</t>
  </si>
  <si>
    <t>Fizikoterápiás szolgáltatás</t>
  </si>
  <si>
    <t>072450</t>
  </si>
  <si>
    <t>B410-B411</t>
  </si>
  <si>
    <t>Átvételre nem került,  rendszeres gyermekvédelmi Erzs. Utalvány visszaküldése</t>
  </si>
  <si>
    <t>44</t>
  </si>
  <si>
    <t>2017. évi Eredeti bevételi előirányzat Összesen</t>
  </si>
  <si>
    <t>2017. évi Konszolidált bevétel eredeti előirányzat</t>
  </si>
  <si>
    <t>2017. évi Eredeti kiadási előirányzat Összesen</t>
  </si>
  <si>
    <t>2017. évi Konszolidált kiadási eredeti előirányzat</t>
  </si>
  <si>
    <t>Önkormányzat 2017. évi eredeti előirányzat</t>
  </si>
  <si>
    <t>Polgármesteri Hivatal 2017. évi eredeti előirányzat</t>
  </si>
  <si>
    <t>Szakorvosi Rendelőintézet 2017. évi eredeti előirányzat</t>
  </si>
  <si>
    <t>GESZ és intézményei   2017. évi eredeti előirányzat</t>
  </si>
  <si>
    <t>2017. évi             Eredeti előirányzat Összesen</t>
  </si>
  <si>
    <t>2017. évi            Konszolidált eredeti előirányzat</t>
  </si>
  <si>
    <t>Ligeti Cseperedő Óvoda              2017. év eredeti előirányzat</t>
  </si>
  <si>
    <t>Pilisvörösvári          Német Nemzetiségi  Óvoda             2017. év eredeti előirányzat</t>
  </si>
  <si>
    <t>Művészetek Háza                        2017. év eredeti előirányzat</t>
  </si>
  <si>
    <t>GESZ                     2017. év eredeti előirányzat</t>
  </si>
  <si>
    <t>Pilisvörösvár Tipegő Bölcsőde 2017. év eredeti előirányzat</t>
  </si>
  <si>
    <t xml:space="preserve"> Gesz és intézményei      2017. évi előirányzat összesen eredeti előirányzat</t>
  </si>
  <si>
    <t>2020.</t>
  </si>
  <si>
    <t>16. melléklet</t>
  </si>
  <si>
    <t>Talajterhelési díj</t>
  </si>
  <si>
    <t>2015. évi tény  (teljesítés)</t>
  </si>
  <si>
    <t>2016. évi várható teljesítés</t>
  </si>
  <si>
    <t>2017. évi eredeti ei.</t>
  </si>
  <si>
    <t>2017. Konszolidált bevétel</t>
  </si>
  <si>
    <t>B355</t>
  </si>
  <si>
    <t>2020. évi kifizetés</t>
  </si>
  <si>
    <t>2021. év utáni kifizetés</t>
  </si>
  <si>
    <t xml:space="preserve">2016.12.31-én fennálló kötelezettség  </t>
  </si>
  <si>
    <t>A kezességvállalás lejárt 2016-ban.</t>
  </si>
  <si>
    <t>Egyéb az Önkormányzat rendeletében megállapoított önkormányzati pénzbeli segély</t>
  </si>
  <si>
    <t>Előző évről áthúzódó bérkompenzáció támogatása</t>
  </si>
  <si>
    <t>Kiegészítő támogatás a bölcsődében foglalkoztatott felsőfokú végzettségű kisgyermeknevelők és szakemberek béréhez</t>
  </si>
  <si>
    <t>Vásár téri Általános Iskola</t>
  </si>
  <si>
    <t>Templom téri Általános Iskola</t>
  </si>
  <si>
    <t>Tipegő Bölcsőde</t>
  </si>
  <si>
    <t>Ligeti Cseperedő  Óvoda</t>
  </si>
  <si>
    <t>Munkahelyi étkeztetés és más szerv részére végzett szolgáltatás</t>
  </si>
  <si>
    <t>Óvodai int. Étkeztetés (Főzőkonyha)</t>
  </si>
  <si>
    <t>Isk.i int. Étkeztetés (Főzőkonyha)</t>
  </si>
  <si>
    <t>Veszélyes  hulladék begyüjtése és kezelése</t>
  </si>
  <si>
    <t>051050,051060</t>
  </si>
  <si>
    <t>Szállítási szolgáltatási díjak</t>
  </si>
  <si>
    <t>K33713</t>
  </si>
  <si>
    <t>0533713</t>
  </si>
  <si>
    <t>Egyéb sajátos bevétel (pályázati dokumentumok, csatorna törlesztés)</t>
  </si>
  <si>
    <t>Épületek és eszközök karbantartása, javítása</t>
  </si>
  <si>
    <t>K313</t>
  </si>
  <si>
    <t>Áru beszerzés (Vörövári napok jelvényei, zászlói)</t>
  </si>
  <si>
    <t>Pozsonyi utca 46. szám alatti ingatlanon keresztül húzódó vízelvezető árok helyreállítása</t>
  </si>
  <si>
    <t>083030</t>
  </si>
  <si>
    <t>Egyéb kiadói tevékenység</t>
  </si>
  <si>
    <t>Lapkiadás</t>
  </si>
  <si>
    <t xml:space="preserve">Vörösvári Újság hírdetés </t>
  </si>
  <si>
    <t>ebből: iskola egészségügy:</t>
  </si>
  <si>
    <t>részfoglalkoztatású teljes státuszú megfeleltetéssel</t>
  </si>
  <si>
    <t>Közalkalmazottak összesen:</t>
  </si>
  <si>
    <t>Műszaki, technikai dolgozó</t>
  </si>
  <si>
    <t>Szerződéssel foglalkoztatott orvos teljes státuszú megfeleltetéssel</t>
  </si>
  <si>
    <t>Mindösszesen:</t>
  </si>
  <si>
    <t>Orvos, szakdolgozó</t>
  </si>
  <si>
    <t>Köztisztviselő (státusz)</t>
  </si>
  <si>
    <t>Rehab. foglalkoztatott</t>
  </si>
  <si>
    <t>Közcélú foglalkoztatott</t>
  </si>
  <si>
    <t>Városházán irodák parketta felújítása, fűtőtest csere, melléképület felújítása</t>
  </si>
  <si>
    <t>Város-, községgazd.i egyéb szol. (Állategészségügyi tevékenység: eseti eb összefogás, állati tetemek elszállítása, Egyéb városüzemeltetési szolgáltatás: pl.közkutak,  KRESZ táblák, játszóterek,közparkok üzemelt, korlátok javítása, közterületi szemetesek pótlása, buszmegállók karbantartása, utcanévtáblák, karácsonyi díszkivilágítás, ünnepi lobogózás)</t>
  </si>
  <si>
    <t>Sporttelep üzemeltetése  (Üzemeltetési díj, vízdíj, gáz, áram)</t>
  </si>
  <si>
    <t>Csobánkai u. 3. épületbontás</t>
  </si>
  <si>
    <t>Városgondnokság tárgyieszköz beszerzés (fűnyíró, fűkasza, lombszívó, gérvágó fűrész)</t>
  </si>
  <si>
    <t>Támogatás összege             2017</t>
  </si>
  <si>
    <t>Puskin utca 8. belső felújítások</t>
  </si>
  <si>
    <t>Báthory utca, Béke utca, Lahner György utca, Csendbiztos utca útépítési terve</t>
  </si>
  <si>
    <t>Pilisvörösvár, Fő utca járdafelújítása, kerékpárút és zárt csapadékcsatorna kiépítésének tervkiegészítése (VEKOP-5.3.2./15)</t>
  </si>
  <si>
    <t>Törzsbetétet (üzletrész)-átruházási szerződés  a Zöld Bicske Nonprofit Kft.-vel</t>
  </si>
  <si>
    <t>Friedrich Schiller Gimnázium és Kollégium udvara térkövezéséhez önkormánzati hozzájárulás (121/2016. (VII.21.) Kt. sz. határozat)</t>
  </si>
  <si>
    <t>Fácán utca, Kandó Kálmán utca útépítési terve</t>
  </si>
  <si>
    <t>Főzőkonyha és melegítőkonyhák berendezéseinek cseréje</t>
  </si>
  <si>
    <t>Bölcsődei étkeztetés  (Főzőkonyha)</t>
  </si>
  <si>
    <t>Mentes a 20 négyzetméternél kisebb telekre az adó megfizetése alól az az adóalany, akinek két építéshatósági szempontból összevonható telke van, de a telekösszevonásához más olyan tulajdonostársak hozzájárulása is szükséges, akiknek az ingatlanon kizárólagosan használt épületrészük van.</t>
  </si>
  <si>
    <t xml:space="preserve">Az adókedvezmény mértéke a fizetendő adó 1/3-a, maximum évi 6 000 Ft a tárgyév január 1. napján ténylegesen Pilisvörösvár településen élő lakóhellyel rendelkező adózók részére. </t>
  </si>
  <si>
    <t>Iparűzési adó</t>
  </si>
  <si>
    <t>Adómentes adóalap vagy adókedvezmény önkormányzati döntés alapján nincs</t>
  </si>
  <si>
    <t>B402, B406, B407</t>
  </si>
  <si>
    <t>Tartózkodás utáni idegenforgalmi adó</t>
  </si>
  <si>
    <t>Járdaépítés a Nyár utca páros oldalán + átvezetés a Manhertz Erzsébet téren</t>
  </si>
  <si>
    <t>Támfalépítés és terepfeltöltés a Széchenyi utcai óvoda udvarán, a CBA köz mellett</t>
  </si>
  <si>
    <t>Tereprendezés a temetőben az új temetőterv alapján</t>
  </si>
  <si>
    <t>Fejlesztési tartalék (beruházásra, felújításra)</t>
  </si>
  <si>
    <t>Ezt elrejteni kell, nem törölni, mert hivatkozás van benne.</t>
  </si>
  <si>
    <t>Fő utca beruházás folytatása a Hősök terétől a CBA-ig</t>
  </si>
  <si>
    <t>Szakorvosi rendelő és Egészségház épületének energetikai felújításának saját forrása (KEHOP-5.2.9/2016)</t>
  </si>
  <si>
    <t>Pilisvörösvár 095/113. hrsz. és a Pilisvörösvár 0114/5. hrsz. alatti szántó megnevezésű ingatlanok megvásárlása</t>
  </si>
  <si>
    <t>Csendbiztos utcai átemelő megszüntetése</t>
  </si>
  <si>
    <t>Vörösvári Újság tárgyi eszköz</t>
  </si>
  <si>
    <t>Önkormányzati ingatlanok karbantartási tartalék</t>
  </si>
  <si>
    <t>Napos Oldal Szociális Központ Idősek átmeneti gondozóháza épületének felújítása (ebből pályázati támogatás 13.582 ezer Ft)</t>
  </si>
  <si>
    <t>Gépjármű vásárlása a Polgármesteri hivatal részére</t>
  </si>
  <si>
    <t>Kt. ülések, állampolgári eskü, Nők napja, Március 15., Hősök napja(május 19.), Pedagógus nap, (június 1), Köztisztviselők napja (július 1.) Vörösvári Napok, polgármesteri reprezentáció, Zuzu-kupa, Bányásznap (augusztus 31.), Idősek napja</t>
  </si>
  <si>
    <t>Magánszemélyek kommunális adója ( A helyi adóról szóló 23/2008. (XI. 26.) számú rendelet 4. § (2) )</t>
  </si>
  <si>
    <t>Magánszemélyek kommunális adója ( A helyi adóról szóló 23/2008. (XI. 26.) számú rendelet 4. § (3) )</t>
  </si>
  <si>
    <t>Magánszemélyek kommunális adója ( A helyi adóról szóló 23/2008. (XI. 26.) számú rendelet 4. § (4) )</t>
  </si>
  <si>
    <t>Magánszemélyek kommunális adója ( A helyi adóról szóló 23/2008. (XI. 26.) számú rendelet 3. § (2) )</t>
  </si>
  <si>
    <r>
      <t xml:space="preserve">Rehab.foglalk. </t>
    </r>
    <r>
      <rPr>
        <sz val="16"/>
        <rFont val="Times New Roman"/>
        <family val="1"/>
        <charset val="238"/>
      </rPr>
      <t>(rész ás teljes munkaidőben)</t>
    </r>
  </si>
  <si>
    <r>
      <t xml:space="preserve">Közcélú foglalk. </t>
    </r>
    <r>
      <rPr>
        <sz val="16"/>
        <rFont val="Times New Roman"/>
        <family val="1"/>
        <charset val="238"/>
      </rPr>
      <t>(teljes munkaidőben)</t>
    </r>
  </si>
  <si>
    <t>ÁHB megelőlegezés</t>
  </si>
  <si>
    <t>Egyéb működési bevételek</t>
  </si>
  <si>
    <t>Közhatalmi bevételek</t>
  </si>
  <si>
    <t>B2, B5</t>
  </si>
  <si>
    <t>Egyéb támogatások (Bursa Hungarica Felsőoktatási ösztöndíj, Pilisvörösvári Német Nemzetiségi Tánccsoport, sváb szekrény restaurálásának támogatása)</t>
  </si>
  <si>
    <t>Általános-tartalék</t>
  </si>
  <si>
    <t>Működési célú-tartalék</t>
  </si>
  <si>
    <t>Nevesített fejlesztési-tartalék</t>
  </si>
  <si>
    <t>Közvilágítás-fejlesztés a Bánytó u. végétől a Városliget sétány mentén és a Sirály utcáig</t>
  </si>
  <si>
    <t xml:space="preserve">Parkolóépítés a Posta részére a Puskin u. 8. udvarán, tereprendezéssel (+ bejárathoz viacolor burkolat készítése) </t>
  </si>
  <si>
    <t>Ady Endre köz, Fácán utca, Csenbiztos utca szilárd burkolat építésének pályázati önrésze</t>
  </si>
  <si>
    <t>A városi köztemető kertépítészeti terveinek elkészítése</t>
  </si>
  <si>
    <t xml:space="preserve">GESZ, Pilisvörösvár és Intézményei működési és felhalmozási célú bevételi és kiadási előirányzatok részletes bemutatása </t>
  </si>
  <si>
    <t>Pilisvörösvári Polgármesteri Hivatal költségvetése kötelező és önként vállalt feladat szerinti bontásban</t>
  </si>
  <si>
    <t>Gazdasági Ellátó Szervezet, Pilisvörösvár költségvetése kötelező és önként vállalt feladat szerinti bontásban</t>
  </si>
  <si>
    <t>Pilisvörösvár Város Önkormányzata és a Pilisvörösvári Polgármesteri Hivatal közhatalmi és működési bevételei</t>
  </si>
  <si>
    <t>Pilisvörösvár Város Önkormányzata és a Pilisvörösvári Polgármesteri Hivatal dologi kiadás előirányzata</t>
  </si>
  <si>
    <t>Egyéb áru- és készletértékesítés</t>
  </si>
  <si>
    <t>45</t>
  </si>
  <si>
    <t>Útépítés (Báthory utca folytatása a tulajdonjogilag rendezett határig,  Kálvária utca felső szakasza, Láhner György utca Szentivánnal közösen, mart aszfaltos a Seregély-Gólya utca összekötéseként)</t>
  </si>
  <si>
    <t>Magyarország 2017. évi központi költségvetéséről szóló 2016. évi XC. törvény 2. számú melléklete alapján Pilisvörösvár Város Önkormányzata általános működésének és ágazati feladatainak támogatása</t>
  </si>
  <si>
    <t>2017. évben 8 hónapra</t>
  </si>
  <si>
    <t>2017. évben 4 hónapra</t>
  </si>
  <si>
    <t>Vegyes</t>
  </si>
  <si>
    <t>B74</t>
  </si>
  <si>
    <t xml:space="preserve">Eredeti előirányzat kötelező feladatok </t>
  </si>
  <si>
    <t>Eredeti előirányzat önként vállalt feladatok</t>
  </si>
  <si>
    <t>Eredeti előirányzat vállalkozási tevékenység</t>
  </si>
  <si>
    <t>Eredeti előirányzat ÖSSZESEN</t>
  </si>
  <si>
    <t>Szakorvosi Rendelőintézet Nemzeti Egészségbiztosítási Alapkezelő (NEAK, előtte OEP) finanszírozás</t>
  </si>
  <si>
    <t>Kártérítések, káresemények (Gradus Óvoda konyhabútor)</t>
  </si>
  <si>
    <t>K321-K322</t>
  </si>
  <si>
    <t>Templom Téri Általános Iskola sportudvarának felújítása</t>
  </si>
  <si>
    <t>járdaépítés a Szabadság utca Kisfaludy utca kereszteződésében</t>
  </si>
  <si>
    <t>Informatika fejlesztési kiadásokra, Onilne Újság</t>
  </si>
  <si>
    <t>10. melléklet</t>
  </si>
  <si>
    <t>(eredetiben: 19. melléklet)</t>
  </si>
  <si>
    <t>Szakorvosi rendelő és Egészségház épületének energetikai felújítása (KEHOP-5.2.9/2016)</t>
  </si>
  <si>
    <t>Gyermekek bölcsődei ellátása</t>
  </si>
  <si>
    <t>Bölcsöde fejlesztés</t>
  </si>
  <si>
    <t>ÁHB egyéb kamat</t>
  </si>
  <si>
    <t>2015. évi normatíva visszafizetése</t>
  </si>
  <si>
    <t>098022</t>
  </si>
  <si>
    <t>Pedagógiai szakszolgáltató tevékenység működtetési feladatai</t>
  </si>
  <si>
    <t>Művészetek Háza – Kulturális Központ és Városi Könyvtár telephelye, a Sváb Sarok gyűjteményébe tartozó, 1857-ben készült szekrény restaurálása</t>
  </si>
  <si>
    <t>Szennyvízcsatorna építése, fenntartása, üzemeltetése</t>
  </si>
  <si>
    <t> 052080</t>
  </si>
  <si>
    <t>Belföldi kincstárjegy</t>
  </si>
  <si>
    <t>072290</t>
  </si>
  <si>
    <t>46</t>
  </si>
  <si>
    <t>Online újság informatikai fejlesztés</t>
  </si>
  <si>
    <t>074031</t>
  </si>
  <si>
    <t>Család és nővédelmi egészségügyi gondozás</t>
  </si>
  <si>
    <t>Pilisvörösvár belterületén elhelyezkedő közparkok föld alatti automata öntözőrendszer tervezése és kivitelezése</t>
  </si>
  <si>
    <t>Iskola utcai járda felújítása</t>
  </si>
  <si>
    <t>Nagy-tó körüli sétány és futópálya kiviteli tervei</t>
  </si>
  <si>
    <t xml:space="preserve">Vállalkozásnak egyéb működési célú támogatások </t>
  </si>
  <si>
    <t xml:space="preserve">Pilisvörösvári Szakorvosi Rendelőintézet egészségügyi alapellátást biztosító helyiségeinek felújítására vonatkozó pályázat </t>
  </si>
  <si>
    <t>a Városháza és melléképülete (Műszaki Osztály) villámvédelmi rendszerének felújítása</t>
  </si>
  <si>
    <t xml:space="preserve">Mátyás király utca és a Nagy-tó között zárt csapadékcsatorna meg építésének támogatására vonatkozó nemzetgazdasági minisztériumi pályázat </t>
  </si>
  <si>
    <t>Puskin u. 8. ablakcsere</t>
  </si>
  <si>
    <t>Pilisvörösvár 047/2 hrsz. alatti két ingatlanrész elővásárlása</t>
  </si>
  <si>
    <t>Bányatelep buszmegálló felújítása</t>
  </si>
  <si>
    <t>Egyéb támogatások (Bursa Hungarica Felsőoktatási ösztöndíj)</t>
  </si>
  <si>
    <t>Láhner György utca útépítése Szentivánnal közösen</t>
  </si>
  <si>
    <t>Mátyás király utca és a Nagy-tó között zárt csapadékcsatorna és a Tó-dűlői záportározó megépítése (önrész)</t>
  </si>
  <si>
    <t>Pilisvörösvár 6227 hrsz. alatti ingatlan megvásárlása</t>
  </si>
  <si>
    <t>„PM_OVODAFEJLESZTES 2017” című, a Ligeti Cseperedő Óvoda épületének felújítását célzó pályázat</t>
  </si>
  <si>
    <t>Német Nemzetiségi Óvoda fejlesztése</t>
  </si>
  <si>
    <t>Lakhatási támogatás pályázati bevételből</t>
  </si>
  <si>
    <t>KÖFOP-1.2.1.-VEKOP-16 pályázat csatlakozás az ASP-hez</t>
  </si>
  <si>
    <t>2017. évi módosított bevételi előirányzat összesen 2017.12.31</t>
  </si>
  <si>
    <t>2017. évi Konszolidált módosított bevételi előirányzat összesen 2017.12.31</t>
  </si>
  <si>
    <t>2017. évi módosított kiadási előirányzat összesen 2017.12.31.</t>
  </si>
  <si>
    <t>2017. évi Konszolidált módosított kiadási előirányzat összesen 2017.12.31.</t>
  </si>
  <si>
    <t>Önkormányzat 2017. évi módosított előirányzat 2017.12.31</t>
  </si>
  <si>
    <t>Polgármesteri Hivatal 2017. évi módosított előirányzat 2017.12.31.</t>
  </si>
  <si>
    <t>Szakorvosi Rendelőintézet 2017. évi módosított előirányzat 2017.12.31.</t>
  </si>
  <si>
    <t>GESZ és intézményei 2017. évi módosított előirányzat 2017.12.31.</t>
  </si>
  <si>
    <t>2017. évi módosított előirányzat Összesen 2017.12.31.</t>
  </si>
  <si>
    <t>2017. évi Konszolidált módosított előirányzat Összesen 2017.12.31.</t>
  </si>
  <si>
    <t>Ligeti Cseperedő Óvoda módosított előirányzat 2017.12.31.</t>
  </si>
  <si>
    <t>Pilisvörösvári          Német Nemzetiségi  Óvoda            módosított előirányzat 2017.12.31</t>
  </si>
  <si>
    <t>Művészetek Háza                        Módosított előirányzat  2017.12.31.</t>
  </si>
  <si>
    <t>GESZ                     Módosított előirányzat  2017.12.31.</t>
  </si>
  <si>
    <t>Pilisvörösvár Tipegő Bölcsőde Módosított előirányzat 2017.12.31.</t>
  </si>
  <si>
    <t xml:space="preserve"> Gesz és intézményei      Módosított előirányzat  összesen 2017.12.31.</t>
  </si>
  <si>
    <t>Módosított előirányzat kötelező feladatok  2017.12.31.</t>
  </si>
  <si>
    <t>Módosított előirányzat önként vállalt feladatok 2017.12.31.</t>
  </si>
  <si>
    <t>Módosított előirányzat vállalkozási tevékenység 2017.12.31.</t>
  </si>
  <si>
    <t>Módosított előirányzat ÖSSZESEN 2017.12.31.</t>
  </si>
  <si>
    <t>Pilisvörösvár 6285 hrsz. alatti ingatlan megvásárlása</t>
  </si>
  <si>
    <t>Puskin utca 8. szám alatti udvarban lévő parkoló burkolása és az összekötő járda kialakítása a Házasságkötő terem és a Kormányablak felé</t>
  </si>
  <si>
    <t>Szent Erzsébet köz burkolása faltól falig, a meglévő járda felújítása</t>
  </si>
  <si>
    <t>Fő tér 1. kamerarendszer bővítés</t>
  </si>
  <si>
    <t> Országgyűlési, önkormányzati és európai parlamenti képviselőválasztásokhoz kapcsolódó tevékenységek</t>
  </si>
  <si>
    <t>Pilisvörösvár város forgalomtechnikai tervének felülvizsgálatát</t>
  </si>
  <si>
    <t>016010</t>
  </si>
  <si>
    <t>Járóbeteg-ellátás finanszírozása és támogatása</t>
  </si>
  <si>
    <t>041233</t>
  </si>
  <si>
    <t>Hosszabb időtartamú közfoglalkoztatás</t>
  </si>
  <si>
    <t>Görgey u. áteresz kiépítése</t>
  </si>
  <si>
    <t>Zrínyi utca óvoda előtti járdaszakasz felújítása</t>
  </si>
  <si>
    <t>Fő u. 104. vakolás (műszaki ellenőrzés)</t>
  </si>
  <si>
    <t>2017. évi Bevételi Teljesítés összesen 2017.12.31</t>
  </si>
  <si>
    <t>Teljesítés %-ban</t>
  </si>
  <si>
    <t>2017. évi Kiadási Teljesítés összesen 2017.12.31</t>
  </si>
  <si>
    <t>2017. évi Konszolidált  kiadási Teljesítés összesen 2017.12.31</t>
  </si>
  <si>
    <t>2017. évi Konszolidált  bevételi Teljesítés összesen 2017.12.31</t>
  </si>
  <si>
    <t>Önkormányzat 2017. évi Teljesítés 2017.12.31</t>
  </si>
  <si>
    <t>Polgármesteri Hivatal  2017. évi Teljesítés 2017.12.31</t>
  </si>
  <si>
    <t>Szakorvosi Rendelőintézet   2017. évi Teljesítés 2017.12.31</t>
  </si>
  <si>
    <t>GESZ és intézményei    2017. évi Teljesítés 2017.12.31</t>
  </si>
  <si>
    <t>2017. évi Teljesítés Összesen 2017.12.31</t>
  </si>
  <si>
    <t>2017. évi Konszolidált Teljesítés Összesen 2017.12.31</t>
  </si>
  <si>
    <t>Ligeti Cseperedő Óvoda 2017. évi Teljesítés 2017.12.31</t>
  </si>
  <si>
    <t>Pilisvörösvári Német Nemzetiségi  Óvoda   2017. évi Teljesítés 2017.12.31</t>
  </si>
  <si>
    <t>Művészetek Háza   2017. évi Teljesítés 2017.12.31</t>
  </si>
  <si>
    <t>GESZ    2017. évi Teljesítés 2017.12.31</t>
  </si>
  <si>
    <t>Pilisvörösvár Tipegő Bölcsőde    2017. évi Teljesítés 2017.12.31</t>
  </si>
  <si>
    <t xml:space="preserve"> Gesz és intézményei     2017. évi Teljesítés 2017.12.31</t>
  </si>
  <si>
    <t>B36122, B36129</t>
  </si>
  <si>
    <t>kötelező feladatok Eredeti előirányzat</t>
  </si>
  <si>
    <t>kötelező feladatok Módosított előirányzat 2017.12.31.</t>
  </si>
  <si>
    <t>kötelező feladatok Teljesítés 2017.12.31.</t>
  </si>
  <si>
    <t>önként vállalt feladatok Eredeti előirányzat</t>
  </si>
  <si>
    <t>önként vállalt feladatok Módosított előirányzat 2017.12.31.</t>
  </si>
  <si>
    <t>önként vállalt  feladatok Teljesítés 2017.12.31.</t>
  </si>
  <si>
    <t xml:space="preserve">önként vállalt feladatok </t>
  </si>
  <si>
    <t>Teljesítés ÖSSZESEN 2017.12.31.</t>
  </si>
  <si>
    <t xml:space="preserve"> vállalkozási tevékenység  Teljesítés 2017.12.31.</t>
  </si>
  <si>
    <t>Kisértékű szellemi termék (pl. Számlázó program, város térkép)</t>
  </si>
  <si>
    <t>Egyéb vagyoni típusú adó (hátralékok)</t>
  </si>
  <si>
    <t>B411</t>
  </si>
  <si>
    <t>Immateriális javak és tárgyi eszközök állományának alakulása</t>
  </si>
  <si>
    <t>Egyszerűsített pénzmaradvány kimutatás</t>
  </si>
  <si>
    <t>Pilisvörösvár Város Önkormányzatának vagyonkimutatása</t>
  </si>
  <si>
    <t>Pilisvörösvár Város Önkormányzata  intézményi normatíva kimutatás</t>
  </si>
  <si>
    <t>1. tájékoztató tábla</t>
  </si>
  <si>
    <t>2. tájékoztató tábla</t>
  </si>
  <si>
    <t>Pilisvörösvár Város Önkormányzatának 2017. évi egyszerűsített mérlege</t>
  </si>
  <si>
    <t>Pilisvörösvár Város Önkormányzatának 2017. évi mérlege</t>
  </si>
  <si>
    <t>Civil szervezetek 2017. évi támogatása</t>
  </si>
  <si>
    <t>17. melléklet</t>
  </si>
  <si>
    <t>18. melléklet</t>
  </si>
  <si>
    <t>19. melléklet</t>
  </si>
  <si>
    <t>20. melléklet</t>
  </si>
  <si>
    <t>21. melléklet</t>
  </si>
  <si>
    <t>22. melléklet</t>
  </si>
  <si>
    <t xml:space="preserve">2017.12.31-én fennálló kötelezettség  </t>
  </si>
  <si>
    <t>2021. évi kifizetés</t>
  </si>
  <si>
    <t>2022. év utáni kifizetés</t>
  </si>
  <si>
    <t>Pilisvörösvár Város Önkormányzata</t>
  </si>
  <si>
    <t>Pilisvörösvári Polgármesteri Hivatal</t>
  </si>
  <si>
    <t xml:space="preserve">Szakorvosi Rendelőintézet </t>
  </si>
  <si>
    <t>Összesítés</t>
  </si>
  <si>
    <t>Konszolidált összesítés</t>
  </si>
  <si>
    <t xml:space="preserve">Pilisvörösvári Német Nemzetiségi  Óvoda  </t>
  </si>
  <si>
    <t xml:space="preserve">GESZ </t>
  </si>
  <si>
    <t>25. melléklet/1. oldal</t>
  </si>
  <si>
    <t>GESZ Összesen</t>
  </si>
  <si>
    <t>Önkormányzat összesen</t>
  </si>
  <si>
    <t>01        Alaptevékenység költségvetési bevételei</t>
  </si>
  <si>
    <t>02        Alaptevékenység költségvetési kiadásai</t>
  </si>
  <si>
    <t>I          Alaptevékenység költségvetési egyenlege (=01-02)</t>
  </si>
  <si>
    <t>03        Alaptevékenység finanszírozási bevételei</t>
  </si>
  <si>
    <t>04        Alaptevékenység finanszírozási kiadásai</t>
  </si>
  <si>
    <t>II         Alaptevékenység finanszírozási egyenlege (=03-04)</t>
  </si>
  <si>
    <t>A)        Alaptevékenység maradványa (=±I±II)</t>
  </si>
  <si>
    <t>05        Vállalkozási tevékenység költségvetési bevételei</t>
  </si>
  <si>
    <t>06        Vállalkozási tevékenység költségvetési kiadásai</t>
  </si>
  <si>
    <t>III        Vállalkozási tevékenység költségvetési egyenlege (=05-06)</t>
  </si>
  <si>
    <t>07        Vállalkozási tevékenység finanszírozási bevételei</t>
  </si>
  <si>
    <t>08        Vállalkozási tevékenység finanszírozási kiadásai</t>
  </si>
  <si>
    <t>IV        Vállalkozási tevékenység finanszírozási egyenlege (=07-08)</t>
  </si>
  <si>
    <t>B)        Vállalkozási tevékenység maradványa (=±III±IV)</t>
  </si>
  <si>
    <t>C)        Összes maradvány (=A+B)</t>
  </si>
  <si>
    <t>D)        Alaptevékenység kötelezettségvállalással terhelt maradványa</t>
  </si>
  <si>
    <t>E)        Alaptevékenység szabad maradványa (=A-D)</t>
  </si>
  <si>
    <t>G)        Vállalkozási tevékenység felhasználható maradványa (=B-F)</t>
  </si>
  <si>
    <t>Elvonás utáni rendezés</t>
  </si>
  <si>
    <t>25. melléklet/2. oldal</t>
  </si>
  <si>
    <t xml:space="preserve">Kimutatás a zárszámadásnál felosztható pénzmaradványról </t>
  </si>
  <si>
    <t>Pénzmaradvány összege</t>
  </si>
  <si>
    <t>Működésre</t>
  </si>
  <si>
    <t xml:space="preserve">   ebből kötelezettséggel terhelt kiadásokra (pl. állami támogatási előleg)</t>
  </si>
  <si>
    <t xml:space="preserve">   ebből kötelezettséggel terhelt maradvány tartalékra</t>
  </si>
  <si>
    <t xml:space="preserve">   ebből egyéb kötelezettséggel terhelt működési kiadásokra (üzemeltetési kiadások, Sváb szekrény, stb.)</t>
  </si>
  <si>
    <t xml:space="preserve">   ebből általános tartalékba</t>
  </si>
  <si>
    <t xml:space="preserve">   ebből kötelezettséggel terhelt tartalékokra (Friderich Schiller Gimnázium, csatorna építés)</t>
  </si>
  <si>
    <t xml:space="preserve">   ebből egyéb fejlesztési tartalékokra (intézményi fejlesztési, pályázati önrész, beruházási, felújítási tartalék)</t>
  </si>
  <si>
    <t xml:space="preserve">   ebből egyéb kötelezettséggel terhelt fejlesztésekre</t>
  </si>
  <si>
    <t xml:space="preserve">   ebből egyéb fejlesztésekre</t>
  </si>
  <si>
    <t xml:space="preserve">   ebből beruházási tartalékba</t>
  </si>
  <si>
    <r>
      <t>Intézmények kötelezettséggel terhelt</t>
    </r>
    <r>
      <rPr>
        <sz val="20"/>
        <rFont val="Arial"/>
        <family val="2"/>
        <charset val="238"/>
      </rPr>
      <t xml:space="preserve"> maradványa</t>
    </r>
  </si>
  <si>
    <r>
      <t xml:space="preserve">Intézmények által szabadon felhasználható </t>
    </r>
    <r>
      <rPr>
        <sz val="20"/>
        <rFont val="Arial"/>
        <family val="2"/>
        <charset val="238"/>
      </rPr>
      <t>(Szakorvosi Rendelőintézet és Művészetek Háza vállakozási maradványa)</t>
    </r>
  </si>
  <si>
    <t>2017. évi zárszámadásnál korrigált           összeg</t>
  </si>
  <si>
    <t>2018. évi költégvetésben felosztott összeg</t>
  </si>
  <si>
    <t>23. melléklet</t>
  </si>
  <si>
    <t>Önkormányzat intézményei összesen</t>
  </si>
  <si>
    <t>Önkormányzat intézményei</t>
  </si>
  <si>
    <t xml:space="preserve">Önkormányzat intézményei </t>
  </si>
  <si>
    <t>Magánszemélyek kommunális adója ( A helyi adóról szóló 23/2008. (XI. 26.) számú rendelet 3. § (2) - (3) )</t>
  </si>
  <si>
    <t>Adókedvezményre jogosult az az adóalany, aki a tárgyév január 1. napján ténylegesen Pilisvörösvár településen élő lakóhellyel rendelkező adózó. Az adókedvezmény mértéke a fizetendő adó 1/3-a, azaz évi 6.000 Ft.</t>
  </si>
  <si>
    <t xml:space="preserve">Gépjárműadóból önkormányzati rendelet alapján  kedvezmény és mentesség megállapítására nincs lehetőség, mivel azok törvény által biztosítottak. </t>
  </si>
  <si>
    <t>Adómentes adóalap vagy adókedvezmény önkormányzati rendelet alapján nincs.</t>
  </si>
  <si>
    <t>-</t>
  </si>
  <si>
    <t>24. melléklet</t>
  </si>
  <si>
    <t>Immateriális javak</t>
  </si>
  <si>
    <t>Ingatlanok és kapcsolódó vagyoni értékű jogok</t>
  </si>
  <si>
    <t>Gépek, berendezések, felszerelések, járművek</t>
  </si>
  <si>
    <t>Tenyészállatok</t>
  </si>
  <si>
    <t>Beruházások és felújítások</t>
  </si>
  <si>
    <t>Koncesszióba, vagyonkezelésbe adott eszközök</t>
  </si>
  <si>
    <t>Összesen (=3+4+5+6+7+8)</t>
  </si>
  <si>
    <t>01</t>
  </si>
  <si>
    <t>Tárgyévi nyitó állomány (előző évi záró állomány)</t>
  </si>
  <si>
    <t>02</t>
  </si>
  <si>
    <t>Immateriális javak beszerzése, nem aktivált beruházások</t>
  </si>
  <si>
    <t>04</t>
  </si>
  <si>
    <t>Beruházásokból, felújításokból aktivált érték</t>
  </si>
  <si>
    <t>05</t>
  </si>
  <si>
    <t>Térítésmentes átvétel</t>
  </si>
  <si>
    <t>07</t>
  </si>
  <si>
    <t>Egyéb növekedés</t>
  </si>
  <si>
    <t>08</t>
  </si>
  <si>
    <t>Összes növekedés  (=02+…+07)</t>
  </si>
  <si>
    <t>09</t>
  </si>
  <si>
    <t>Értékesítés</t>
  </si>
  <si>
    <t>Hiány, selejtezés, megsemmisülés</t>
  </si>
  <si>
    <t>Térítésmentes átadás</t>
  </si>
  <si>
    <t>Egyéb csökkenés</t>
  </si>
  <si>
    <t>Összes csökkenés (=09+…+13)</t>
  </si>
  <si>
    <t>Bruttó érték összesen (=01+08-14)</t>
  </si>
  <si>
    <t>Terv szerinti értékcsökkenés nyitó állománya</t>
  </si>
  <si>
    <t>Terv szerinti értékcsökkenés növekedése</t>
  </si>
  <si>
    <t>Terv szerinti értékcsökkenés csökkenése</t>
  </si>
  <si>
    <t>Terv szerinti értékcsökkenés záró állománya  (=16+17-18)</t>
  </si>
  <si>
    <t>Értékcsökkenés összesen (=19+23)</t>
  </si>
  <si>
    <t>Eszközök nettó értéke (=15-24)</t>
  </si>
  <si>
    <t>Teljesen (0-ig) leírt eszközök bruttó értéke</t>
  </si>
  <si>
    <t>26. melléklet</t>
  </si>
  <si>
    <t>ESZKÖZÖK</t>
  </si>
  <si>
    <t>Előző évi költségvetési beszámoló</t>
  </si>
  <si>
    <t>Auditálási eltérések          (+/-)</t>
  </si>
  <si>
    <t>Előző év auditált egyszerűsített beszámoló záró</t>
  </si>
  <si>
    <t>Tárgy évi költségvetési beszámoló</t>
  </si>
  <si>
    <t>Tárgy évi auditált egyszerűsített beszámoló</t>
  </si>
  <si>
    <t>A.</t>
  </si>
  <si>
    <t xml:space="preserve">NEMZETI VAGYONBA TARTOZÓ BEFEKTETETT ESZKÖZÖK </t>
  </si>
  <si>
    <t>Immaterilális javak</t>
  </si>
  <si>
    <t>Tárgyi eszközök</t>
  </si>
  <si>
    <t>Befektetett pénzügyi eszk.</t>
  </si>
  <si>
    <t>Koncesszióba, vagyonkezelésbe adott eszk.</t>
  </si>
  <si>
    <t>B.</t>
  </si>
  <si>
    <t>NEMZETI VAGYONBA TARTOZÓ FORGÓESZKÖZÖK</t>
  </si>
  <si>
    <t>Készletek</t>
  </si>
  <si>
    <t>Értékpapírok</t>
  </si>
  <si>
    <t>C.</t>
  </si>
  <si>
    <t>PÉNZESZKÖZÖK</t>
  </si>
  <si>
    <t>D.</t>
  </si>
  <si>
    <t xml:space="preserve">KÖVETELÉSEK </t>
  </si>
  <si>
    <t>E.</t>
  </si>
  <si>
    <t xml:space="preserve">EGYÉB SAJÁTOS ESZKÖZOLDALI  ELSZÁMOLÁSOK </t>
  </si>
  <si>
    <t>F.</t>
  </si>
  <si>
    <t xml:space="preserve"> AKTÍV IDŐBELI  ELHATÁROLÁSOK</t>
  </si>
  <si>
    <t>ESZKÖZÖK ÖSSZESEN:</t>
  </si>
  <si>
    <t>FORRÁSOK</t>
  </si>
  <si>
    <t>Auditálási eltérések         (+/-)</t>
  </si>
  <si>
    <t>G.</t>
  </si>
  <si>
    <t>SAJÁT TŐKE</t>
  </si>
  <si>
    <t>Nemzeti vagyon induláskori értéke</t>
  </si>
  <si>
    <t>Nemzeti vagyon változásai</t>
  </si>
  <si>
    <t>Egyéb eszközök induláskori értéke és változásai</t>
  </si>
  <si>
    <t>Felhalmozott eredmény</t>
  </si>
  <si>
    <t>V.</t>
  </si>
  <si>
    <t>Eszközök értékhelyesbítésének forrása</t>
  </si>
  <si>
    <t>VI.</t>
  </si>
  <si>
    <t>Mérleg szerinti eredmény</t>
  </si>
  <si>
    <t>H.</t>
  </si>
  <si>
    <t>KÖTELEZETTSÉGEK</t>
  </si>
  <si>
    <t>I</t>
  </si>
  <si>
    <t>Költségvetési évben esedékes kötelezettségek</t>
  </si>
  <si>
    <t>II</t>
  </si>
  <si>
    <t>Költségvetési évet követően esedékes kötelezettségek</t>
  </si>
  <si>
    <t>Kötelezettség jellegű sajátos elszámolások</t>
  </si>
  <si>
    <t>Egyéb sajátos forrásoldali elszámolások</t>
  </si>
  <si>
    <t>J.</t>
  </si>
  <si>
    <t xml:space="preserve"> PASSZÍV IDŐBELI ELHATÁROLÁSOK</t>
  </si>
  <si>
    <t>FORRÁSOK ÖSSZESEN:</t>
  </si>
  <si>
    <t>27. melléklet/1. oldal</t>
  </si>
  <si>
    <t>Előző időszak</t>
  </si>
  <si>
    <t>Tárgyi időszak</t>
  </si>
  <si>
    <t>A/I/1 Vagyoni értékű jogok</t>
  </si>
  <si>
    <t>A/I/2 Szellemi termékek</t>
  </si>
  <si>
    <t>A/I Immateriális javak (=A/I/1+A/I/2+A/I/3)</t>
  </si>
  <si>
    <t>A/II/1 Ingatlanok és a kapcsolódó vagyoni értékű jogok</t>
  </si>
  <si>
    <t>06</t>
  </si>
  <si>
    <t>A/II/2 Gépek, berendezések, felszerelések, járművek</t>
  </si>
  <si>
    <t>A/II/4 Beruházások, felújítások</t>
  </si>
  <si>
    <t>A/II Tárgyi eszközök  (=A/II/1+...+A/II/5)</t>
  </si>
  <si>
    <t>A/III/1 Tartós részesedések (=A/III/1a+…+A/III/1e)</t>
  </si>
  <si>
    <t>A/III/1c - ebből: tartós részesedésel pénzügyi vállalkozásban</t>
  </si>
  <si>
    <t>A/III Befektetett pénzügyi eszközök (=A/III/1+A/III/2+A/III/3)</t>
  </si>
  <si>
    <t>A) NEMZETI VAGYONBA TARTOZÓ BEFEKTETETT ESZKÖZÖK (=A/I+A/II+A/III+A/IV)</t>
  </si>
  <si>
    <t>B/I/1 Vásárolt készletek</t>
  </si>
  <si>
    <t>B/I Készletek (=B/I/1+…+B/I/5)</t>
  </si>
  <si>
    <t>B) NEMZETI VAGYONBA TARTOZÓ FORGÓESZKÖZÖK (= B/I+B/II)</t>
  </si>
  <si>
    <t>47</t>
  </si>
  <si>
    <t>C/II/1 Forintpénztár</t>
  </si>
  <si>
    <t>49</t>
  </si>
  <si>
    <t>C/II/3 Betétkönyvek, csekkek, elektronikus pénzeszközök</t>
  </si>
  <si>
    <t>50</t>
  </si>
  <si>
    <t>C/II Pénztárak, csekkek, betétkönyvek (=C/II/1+C/II/2+C/II/3)</t>
  </si>
  <si>
    <t>51</t>
  </si>
  <si>
    <t>C/III/1 Kincstáron kívüli forintszámlák</t>
  </si>
  <si>
    <t>53</t>
  </si>
  <si>
    <t>C/III Forintszámlák (=C/III/1+C/III/2)</t>
  </si>
  <si>
    <t>57</t>
  </si>
  <si>
    <t>C) PÉNZESZKÖZÖK (=C/I+…+C/IV)</t>
  </si>
  <si>
    <t>62</t>
  </si>
  <si>
    <t>D/I/3 Költségvetési évben esedékes követelések közhatalmi bevételre (=D/I/3a+…+D/I/3f)</t>
  </si>
  <si>
    <t>66</t>
  </si>
  <si>
    <t>D/I/3d - ebből: költségvetési évben esedékes követelések vagyoni típusú adókra</t>
  </si>
  <si>
    <t>67</t>
  </si>
  <si>
    <t>D/I/3e - ebből: költségvetési évben esedékes követelések termékek és szolgáltatások adóira</t>
  </si>
  <si>
    <t>68</t>
  </si>
  <si>
    <t>D/I/3f - ebből: költségvetési évben esedékes követelések egyéb közhatalmi bevételekre</t>
  </si>
  <si>
    <t>69</t>
  </si>
  <si>
    <t>D/I/4 Költségvetési évben esedékes követelések működési bevételre (=D/I/4a+…+D/I/4i)</t>
  </si>
  <si>
    <t>70</t>
  </si>
  <si>
    <t>D/I/4a - ebből: költségvetési évben esedékes követelések készletértékesítés ellenértékére, szolgáltatások ellenértékére, közvetített szolgáltatások ellenértékére</t>
  </si>
  <si>
    <t>71</t>
  </si>
  <si>
    <t>D/I/4b - ebből: költségvetési évben esedékes követelések tulajdonosi bevételekre</t>
  </si>
  <si>
    <t>73</t>
  </si>
  <si>
    <t>D/I/4d - ebből: költségvetési évben esedékes követelések kiszámlázott általános forgalmi adóra</t>
  </si>
  <si>
    <t>75</t>
  </si>
  <si>
    <t>D/I/4f - ebből: költségvetési évben esedékes követelések kamatbevételekre és más nyereségjellegű bevételekre</t>
  </si>
  <si>
    <t>78</t>
  </si>
  <si>
    <t>D/I/4i - ebből: költségvetési évben esedékes követelések egyéb működési bevételekre</t>
  </si>
  <si>
    <t>79</t>
  </si>
  <si>
    <t>D/I/5 Költségvetési évben esedékes követelések felhalmozási bevételre (=D/I/5a+…+D/I/5e)</t>
  </si>
  <si>
    <t>81</t>
  </si>
  <si>
    <t>D/I/5b - ebből: költségvetési évben esedékes követelések ingatlanok értékesítésére</t>
  </si>
  <si>
    <t>89</t>
  </si>
  <si>
    <t>D/I/7 Költségvetési évben esedékes követelések felhalmozási célú átvett pénzeszközre (&gt;=D/I/7a+D/I/7b+D/I/7c)</t>
  </si>
  <si>
    <t>92</t>
  </si>
  <si>
    <t>D/I/7c - ebből: költségvetési évben esedékes követelések felhalmozási célú visszatérítendő támogatások, kölcsönök visszatérülésére államháztartáson kívülről</t>
  </si>
  <si>
    <t>101</t>
  </si>
  <si>
    <t>D/I Költségvetési évben esedékes követelések (=D/I/1+…+D/I/8)</t>
  </si>
  <si>
    <t>133</t>
  </si>
  <si>
    <t>D/II/7 Költségvetési évet követően esedékes követelések felhalmozási célú átvett pénzeszközre (&gt;=D/II/7a+D/II/7b+D/II/7c)</t>
  </si>
  <si>
    <t>136</t>
  </si>
  <si>
    <t>D/II/7c - ebből: költségvetési évet követően esedékes követelések felhalmozási célú visszatérítendő támogatások, kölcsönök visszatérülésére államháztartáson kívülről</t>
  </si>
  <si>
    <t>142</t>
  </si>
  <si>
    <t>D/II Költségvetési évet követően esedékes követelések (=D/II/1+…+D/II/8)</t>
  </si>
  <si>
    <t>143</t>
  </si>
  <si>
    <t>D/III/1 Adott előlegek (=D/III/1a+…+D/III/1f)</t>
  </si>
  <si>
    <t>158</t>
  </si>
  <si>
    <t>D/III Követelés jellegű sajátos elszámolások (=D/III/1+…+D/III/9)</t>
  </si>
  <si>
    <t>159</t>
  </si>
  <si>
    <t>D) KÖVETELÉSEK  (=D/I+D/II+D/III)</t>
  </si>
  <si>
    <t>161</t>
  </si>
  <si>
    <t>E/I/2 Más előzetesen felszámított levonható általános forgalmi adó</t>
  </si>
  <si>
    <t>164</t>
  </si>
  <si>
    <t>E/I Előzetesen felszámított általános forgalmi adó elszámolása (=E/I/1+…+E/I/4)</t>
  </si>
  <si>
    <t>166</t>
  </si>
  <si>
    <t>E/II/2 Más fizetendő általános forgalmi adó</t>
  </si>
  <si>
    <t>167</t>
  </si>
  <si>
    <t>E/II Fizetendő általános forgalmi adó elszámolása (=E/II/1+E/II/2)</t>
  </si>
  <si>
    <t>168</t>
  </si>
  <si>
    <t>E/III/1 December havi illetmények, munkabérek elszámolása</t>
  </si>
  <si>
    <t>169</t>
  </si>
  <si>
    <t>E/III/2 Utalványok, bérletek és más hasonló, készpénz-helyettesítő fizetési eszköznek nem minősülő eszközök elszámolásai</t>
  </si>
  <si>
    <t>170</t>
  </si>
  <si>
    <t>E/III Egyéb sajátos eszközoldali elszámolások (=E/III/1+E/III/2)</t>
  </si>
  <si>
    <t>171</t>
  </si>
  <si>
    <t>E) EGYÉB SAJÁTOS ELSZÁMOLÁSOK (=E/I+E/II+E/III)</t>
  </si>
  <si>
    <t>173</t>
  </si>
  <si>
    <t>F/2 Költségek, ráfordítások aktív időbeli elhatárolása</t>
  </si>
  <si>
    <t>175</t>
  </si>
  <si>
    <t>F) AKTÍV IDŐBELI  ELHATÁROLÁSOK  (=F/1+F/2+F/3)</t>
  </si>
  <si>
    <t>176</t>
  </si>
  <si>
    <t>ESZKÖZÖK ÖSSZESEN (=A+B+C+D+E+F)</t>
  </si>
  <si>
    <t>27. melléklet/2. oldal</t>
  </si>
  <si>
    <t>177</t>
  </si>
  <si>
    <t>G/I  Nemzeti vagyon induláskori értéke</t>
  </si>
  <si>
    <t>181</t>
  </si>
  <si>
    <t>G/III/3 Pénzeszközön kívüli egyéb eszközök induláskori értéke és változásai</t>
  </si>
  <si>
    <t>182</t>
  </si>
  <si>
    <t>G/III Egyéb eszközök induláskori értéke és változásai (=G/III/1+G/III/2+G/III/3)</t>
  </si>
  <si>
    <t>183</t>
  </si>
  <si>
    <t>G/IV Felhalmozott eredmény</t>
  </si>
  <si>
    <t>185</t>
  </si>
  <si>
    <t>G/VI Mérleg szerinti eredmény</t>
  </si>
  <si>
    <t>186</t>
  </si>
  <si>
    <t>G/ SAJÁT TŐKE  (= G/I+…+G/VI)</t>
  </si>
  <si>
    <t>187</t>
  </si>
  <si>
    <t>H/I/1 Költségvetési évben esedékes kötelezettségek személyi juttatásokra</t>
  </si>
  <si>
    <t>189</t>
  </si>
  <si>
    <t>H/I/3 Költségvetési évben esedékes kötelezettségek dologi kiadásokra</t>
  </si>
  <si>
    <t>190</t>
  </si>
  <si>
    <t>H/I/4 Költségvetési évben esedékes kötelezettségek ellátottak pénzbeli juttatásaira</t>
  </si>
  <si>
    <t>194</t>
  </si>
  <si>
    <t>H/I/6 Költségvetési évben esedékes kötelezettségek beruházásokra</t>
  </si>
  <si>
    <t>195</t>
  </si>
  <si>
    <t>H/I/7 Költségvetési évben esedékes kötelezettségek felújításokra</t>
  </si>
  <si>
    <t>212</t>
  </si>
  <si>
    <t>H/I Költségvetési évben esedékes kötelezettségek (=H/I/1+…+H/I/9)</t>
  </si>
  <si>
    <t>215</t>
  </si>
  <si>
    <t>H/II/3 Költségvetési évet követően esedékes kötelezettségek dologi kiadásokra</t>
  </si>
  <si>
    <t>225</t>
  </si>
  <si>
    <t>H/II/9 Költségvetési évet követően esedékes kötelezettségek finanszírozási kiadásokra (&gt;=H/II/9a+…+H/II/9j)</t>
  </si>
  <si>
    <t>226</t>
  </si>
  <si>
    <t>H/II/9a - ebből: költségvetési évet követően esedékes kötelezettségek hosszú lejáratú hitelek, kölcsönök törlesztésére pénzügyi vállalkozásnak</t>
  </si>
  <si>
    <t>230</t>
  </si>
  <si>
    <t>H/II/9e - ebből: költségvetési évet követően esedékes kötelezettségek államháztartáson belüli megelőlegezések visszafizetésére</t>
  </si>
  <si>
    <t>236</t>
  </si>
  <si>
    <t>H/II Költségvetési évet követően esedékes kötelezettségek (=H/II/1+…+H/II/9)</t>
  </si>
  <si>
    <t>237</t>
  </si>
  <si>
    <t>H/III/1 Kapott előlegek</t>
  </si>
  <si>
    <t>238</t>
  </si>
  <si>
    <t>H/III/2 Továbbadási célból folyósított támogatások, ellátások elszámolása</t>
  </si>
  <si>
    <t>239</t>
  </si>
  <si>
    <t>H/III/3 Más szervezetet megillető bevételek elszámolása</t>
  </si>
  <si>
    <t>244</t>
  </si>
  <si>
    <t>H/III/8 Letétre, megőrzésre, fedezetkezelésre átvett pénzeszközök, biztosítékok</t>
  </si>
  <si>
    <t>247</t>
  </si>
  <si>
    <t>H/III Kötelezettség jellegű sajátos elszámolások (=H/III/1+…+H/III/10)</t>
  </si>
  <si>
    <t>248</t>
  </si>
  <si>
    <t>H) KÖTELEZETTSÉGEK (=H/I+H/II+H/III)</t>
  </si>
  <si>
    <t>251</t>
  </si>
  <si>
    <t>J/2 Költségek, ráfordítások passzív időbeli elhatárolása</t>
  </si>
  <si>
    <t>252</t>
  </si>
  <si>
    <t>J/3 Halasztott eredményszemléletű bevételek</t>
  </si>
  <si>
    <t>253</t>
  </si>
  <si>
    <t>J) PASSZÍV IDŐBELI ELHATÁROLÁSOK (=J/1+J/2+J/3)</t>
  </si>
  <si>
    <t>254</t>
  </si>
  <si>
    <t>FORRÁSOK ÖSSZESEN (=G+H+I+J)</t>
  </si>
  <si>
    <t>Mérlegben kimutatott tételek nettó értéken</t>
  </si>
  <si>
    <t>28. melléklet/1. oldal</t>
  </si>
  <si>
    <t>Tárgyév            e Ft-ban</t>
  </si>
  <si>
    <t>Önkor-mányzat</t>
  </si>
  <si>
    <t>Napos Oldal Szoc. Közp.</t>
  </si>
  <si>
    <t>Polgárm. Hivatal</t>
  </si>
  <si>
    <t>Német Nemz. Óvoda</t>
  </si>
  <si>
    <t>Ligeti Csep. Óvoda</t>
  </si>
  <si>
    <t>Szakorvosi Rendelő</t>
  </si>
  <si>
    <t>Önkorm. összesen</t>
  </si>
  <si>
    <t>BEFEKTETETT ESZKÖZÖK</t>
  </si>
  <si>
    <t>1.</t>
  </si>
  <si>
    <t>Vagyoni értékű jogok</t>
  </si>
  <si>
    <t>1.1.</t>
  </si>
  <si>
    <t>Forgalomképtelen törzsvagyon</t>
  </si>
  <si>
    <t>1.2.</t>
  </si>
  <si>
    <t>Nemzetgazdasági szempontból kiemelt jelentőségű tözsvagyon</t>
  </si>
  <si>
    <t>1.3.</t>
  </si>
  <si>
    <t>Korlátozottan forgalomképes vagyon</t>
  </si>
  <si>
    <t>1.4.</t>
  </si>
  <si>
    <t>Üzleti vagyon</t>
  </si>
  <si>
    <t>2.</t>
  </si>
  <si>
    <t>Szellemi termékek</t>
  </si>
  <si>
    <t>2.1.</t>
  </si>
  <si>
    <t>2.2.</t>
  </si>
  <si>
    <t>2.3.</t>
  </si>
  <si>
    <t>2.4.</t>
  </si>
  <si>
    <t>3.</t>
  </si>
  <si>
    <t>Immateriális javak értékhelyesbítése</t>
  </si>
  <si>
    <t>Gépek, berendezések, felszerelések és járművek</t>
  </si>
  <si>
    <t>4.</t>
  </si>
  <si>
    <t>Beruházások, felújítások</t>
  </si>
  <si>
    <t>4.1.</t>
  </si>
  <si>
    <t>4.2.</t>
  </si>
  <si>
    <t>4.3.</t>
  </si>
  <si>
    <t>4.4.</t>
  </si>
  <si>
    <t>5.</t>
  </si>
  <si>
    <t>Tárgyi eszközök értékhelyesbítése</t>
  </si>
  <si>
    <t>Befektetett pénzügyi eszközök</t>
  </si>
  <si>
    <t>Tartós részesedések</t>
  </si>
  <si>
    <t>Tartós hitelviszonyt megtestesítő értékpapírok</t>
  </si>
  <si>
    <t>Tartósan adott kölcsön</t>
  </si>
  <si>
    <t>3.1.</t>
  </si>
  <si>
    <t>3.2.</t>
  </si>
  <si>
    <t>3.3.</t>
  </si>
  <si>
    <t>3.4.</t>
  </si>
  <si>
    <t>6.</t>
  </si>
  <si>
    <t>Befektetett pénzügyi eszközök értékhelyesbítése</t>
  </si>
  <si>
    <t>28. melléklet/2. oldal</t>
  </si>
  <si>
    <t>Üzemeltetésre, kezelésbe átadott, koncesszióba, vagyonkezelésbe adott illetve vagyonkezelésbe vett eszközök</t>
  </si>
  <si>
    <t>Üzemeltetésre átadott eszközök</t>
  </si>
  <si>
    <t>1.1.2.</t>
  </si>
  <si>
    <t>Üzemeltetésre átadott ingatlanok és vagyoni értékű jogok</t>
  </si>
  <si>
    <t>1.1.2.4.</t>
  </si>
  <si>
    <t>Üzemeltetésre átadott egyéb építmények</t>
  </si>
  <si>
    <t>1.1.2.4.1.</t>
  </si>
  <si>
    <t>1.1.2.4.2.</t>
  </si>
  <si>
    <t>1.1.2.4.3.</t>
  </si>
  <si>
    <t>1.1.2.4.4.</t>
  </si>
  <si>
    <t>Anyagok</t>
  </si>
  <si>
    <t>Hosszú lejáratú betétek</t>
  </si>
  <si>
    <t>1I.</t>
  </si>
  <si>
    <t>Pénztárak, csekkek, betétkönyvek</t>
  </si>
  <si>
    <t>Forintszámlák</t>
  </si>
  <si>
    <t>Devizaszámlák</t>
  </si>
  <si>
    <t>Idegen pénzeszközök</t>
  </si>
  <si>
    <t>KÖVETELÉSEK</t>
  </si>
  <si>
    <t>Költségvetési évben esedékes követelések</t>
  </si>
  <si>
    <t>Költségvetési évet követően esedékes követelések</t>
  </si>
  <si>
    <t>Követelés jellegű sajátos elszámolások</t>
  </si>
  <si>
    <t>EGYÉB SAJÁTOS ESZKÖZOLDALI ELSZÁMOLÁSOK</t>
  </si>
  <si>
    <t>AKTÍV IDŐBELI ELHATÁROLÁSOK</t>
  </si>
  <si>
    <t xml:space="preserve">                                                                                                                                                                                                                                                                                                                                                                                                                                                                                                                                                                                                                                                                                                                                                                                                                                                                                                                                                                                                                                                            </t>
  </si>
  <si>
    <t>ESZKÖZÖK ÖSSZESEN</t>
  </si>
  <si>
    <t>28. melléklet/3. oldal</t>
  </si>
  <si>
    <t>EGYÉB SAJÁTOS FORRÁSOLDALI ELSZÁMOLÁSOK</t>
  </si>
  <si>
    <t>KINCSTÁRI SZÁMLAVEZETÉSSEL KAPCSOLATOS ELSZÁMOLÁSOK</t>
  </si>
  <si>
    <t>K.</t>
  </si>
  <si>
    <t>PASSZÍV IDŐBELI ELHATÁROLÁSOK</t>
  </si>
  <si>
    <t>FORRÁSOK ÖSSZESEN</t>
  </si>
  <si>
    <t>Mérlegben nem kimutatott, 0-ig leírt tételek bruttó értéken</t>
  </si>
  <si>
    <t>28. melléklet/4. oldal</t>
  </si>
  <si>
    <t xml:space="preserve">Érték </t>
  </si>
  <si>
    <t>Egy éven belül elhaszn. szakmai anyag</t>
  </si>
  <si>
    <t>Irodaszerek, nyomtatványok</t>
  </si>
  <si>
    <t>Egy éven belül elhaszn. üzemeltetési anyag</t>
  </si>
  <si>
    <t>Élelmiszerek</t>
  </si>
  <si>
    <t>Raktári áruk beszerzési áron</t>
  </si>
  <si>
    <t>Idegen helyen tárolt, bizományba adott készletek</t>
  </si>
  <si>
    <t>Nemzeti vagyonba tartozó forgóeszközök - készletek részletezése 2017.12.31-én</t>
  </si>
  <si>
    <t>az Önkormányzat  2017. évi zárszámadásáról</t>
  </si>
  <si>
    <t>096025, 013360, 900090</t>
  </si>
  <si>
    <t>Munkahelyi étkeztetés és más szerv részére végzett szolgáltatás, Vállalkozási tevékenységek kiadásai és bevételei</t>
  </si>
  <si>
    <t>F)        Vállalkozási tevékenységet terhelő befizetési kötelezettség (=B*0,09)</t>
  </si>
  <si>
    <t xml:space="preserve">Ebből irányító szerv által elvonásra kerül </t>
  </si>
  <si>
    <t>#</t>
  </si>
  <si>
    <t>Módosítások (+/-)</t>
  </si>
  <si>
    <t>B/II/2 Forgatási célú hitelviszonyt megtestesítő értékpapírok (&gt;=B/II/2a+…+B/II/2e)</t>
  </si>
  <si>
    <t>B/II/2b - ebből: kincstárjegyek</t>
  </si>
  <si>
    <t>B/II Értékpapírok (=B/II/1+B/II/2)</t>
  </si>
  <si>
    <t>48</t>
  </si>
  <si>
    <t>C/II/2 Valutapénztár</t>
  </si>
  <si>
    <t>93</t>
  </si>
  <si>
    <t>D/I/8 Költségvetési évben esedékes követelések finanszírozási bevételekre (&gt;=D/I/8a+…+D/I/8g)</t>
  </si>
  <si>
    <t>94</t>
  </si>
  <si>
    <t>D/I/8a - ebből: költségvetési évben esedékes követelések forgatási célú belföldi értékpapírok beváltásából, értékesítéséből</t>
  </si>
  <si>
    <t>113</t>
  </si>
  <si>
    <t>D/II/4 Költségvetési évet követően esedékes követelések működési bevételre (=D/II/4a+…+D/II/4i)</t>
  </si>
  <si>
    <t>114</t>
  </si>
  <si>
    <t>D/II/4a - ebből: költségvetési évet követően esedékes követelések készletértékesítés ellenértékére, szolgáltatások ellenértékére, közvetített szolgáltatások ellenértékére</t>
  </si>
  <si>
    <t>147</t>
  </si>
  <si>
    <t>D/III/1d - ebből: igénybe vett szolgáltatásra adott előlegek</t>
  </si>
  <si>
    <t>163</t>
  </si>
  <si>
    <t>E/I/4 Más előzetesen felszámított nem levonható általános forgalmi adó</t>
  </si>
  <si>
    <t>178</t>
  </si>
  <si>
    <t>G/II Nemzeti vagyon változásai</t>
  </si>
  <si>
    <t>217</t>
  </si>
  <si>
    <t>H/II/5 Költségvetési évet követően esedékes kötelezettségek egyéb működési célú kiadásokra (&gt;=H/II/5a+H/II/5b)</t>
  </si>
  <si>
    <t>220</t>
  </si>
  <si>
    <t>H/II/6 Költségvetési évet követően esedékes kötelezettségek beruházásokra</t>
  </si>
  <si>
    <t>250</t>
  </si>
  <si>
    <t>J/1 Eredményszemléletű bevételek passzív időbeli elhatárolása</t>
  </si>
  <si>
    <t>Költségvetési szerv, társulás alapításkori átadás, vagyonkezelésbe adás miatti átadás, vagyonkezelői jog visszaadása</t>
  </si>
  <si>
    <t>Vagyonkimutatás 2017. december 31.</t>
  </si>
  <si>
    <t>Forint</t>
  </si>
  <si>
    <t>Áruk/anyagok összesen</t>
  </si>
  <si>
    <t>Forintalapú kincstárjegyek</t>
  </si>
  <si>
    <t>Forgóeszközök összesen:</t>
  </si>
  <si>
    <t>Irányító szervtől kapott támogatás ( közmunka program, rendszeres gyermekvédelmi utalvány, ASP pályázati bevétel )</t>
  </si>
  <si>
    <t>HÖK költségvetési szervtől kapott támogatása ( visszafizetett Társulási pénzmaradvány)</t>
  </si>
  <si>
    <t>B21</t>
  </si>
  <si>
    <t>Felhalmozási célú önkormányzati támogatások (Vis Maior támogatás, közművelődési)</t>
  </si>
  <si>
    <t>Szabálysértési pénz- és helyszíni bírság, közigazgatási bírság</t>
  </si>
  <si>
    <t>Vízkár-elhárítási terv</t>
  </si>
  <si>
    <t>Köztemetői útépítés folytatása, a főbejárat útjának meghosszabbításával, valamint a XV. és a XVII. parcellák között lemenő út burkolásával</t>
  </si>
  <si>
    <t>Köztemető 12 db úrnasírhely</t>
  </si>
  <si>
    <t>Terepgépjármű beszerzése</t>
  </si>
  <si>
    <t>Főzőkonyha részére gépjármű beszerzése</t>
  </si>
  <si>
    <t>Rákóczi u. 8. irattár kialakítása</t>
  </si>
  <si>
    <t>Az öt tó környéke, a Vágóhíd utcai volt iskolai gyakorlókert területe és a Kálvária-domb útvonalai tájépítészeti koncepcióterve</t>
  </si>
  <si>
    <t>Járdaépítés a Budai út páros oldalán a Gesztenye utcától az Ady Endre utcáig</t>
  </si>
  <si>
    <r>
      <t xml:space="preserve">H)        Felhasználható </t>
    </r>
    <r>
      <rPr>
        <b/>
        <sz val="18"/>
        <color rgb="FFFF0000"/>
        <rFont val="Times New Roman"/>
        <family val="1"/>
        <charset val="238"/>
      </rPr>
      <t>szabad</t>
    </r>
    <r>
      <rPr>
        <b/>
        <sz val="18"/>
        <rFont val="Times New Roman"/>
        <family val="1"/>
        <charset val="238"/>
      </rPr>
      <t xml:space="preserve"> pénzmaradvány</t>
    </r>
  </si>
  <si>
    <t>Felhalmozásra (beruházás, felújítás)</t>
  </si>
  <si>
    <t>Összesen kötelezettséggel terhelt (Önkormányzat)</t>
  </si>
  <si>
    <t>Összesen szabadon felhasználható (Önkormányzat)</t>
  </si>
  <si>
    <t>Összes felhasználható pénzmaradvány (Önkormányzat)</t>
  </si>
  <si>
    <t xml:space="preserve">   ebből egyéb működési kiadásokra (útjavítás)</t>
  </si>
  <si>
    <t>Intézményektől elvonásra kerülő pénzmaradvány</t>
  </si>
  <si>
    <t>Intézményeket terhelő befizetési kötelezettség</t>
  </si>
  <si>
    <t>Intézményi pénzmaradvány összesen</t>
  </si>
  <si>
    <t>Az európai uniós forrásból finanszírozott támogatással megvalósuló programok, projektek kiadásai, bevételei, valamint a helyi önkormányzat ilyen projektekhez történő hozzájárulásai</t>
  </si>
  <si>
    <t xml:space="preserve">EU Projekt megnevezése: </t>
  </si>
  <si>
    <t>ezer FT</t>
  </si>
  <si>
    <t>KÖFOP-1.2.1-VEKOP-16-2017-00658 „PILISVÖRÖSVÁR VÁROS ÖNKORMÁNYZATA ASP KÖZPONTHOZ
VALÓ CSATLAKOZÁSA”</t>
  </si>
  <si>
    <t xml:space="preserve">2017. év </t>
  </si>
  <si>
    <t>Finanszírozási bevételek- önerő hitel igénybevétele</t>
  </si>
  <si>
    <t>Finanszírozási bevételek- önkormányzat projekthez történő hozzájárulása</t>
  </si>
  <si>
    <t>KÖFOP-1.2.1-VEKOP-16-2017-00658 pályázat összbevétele</t>
  </si>
  <si>
    <t>2017. év</t>
  </si>
  <si>
    <t>Személyi kiadások</t>
  </si>
  <si>
    <t>Dologi kiadások</t>
  </si>
  <si>
    <t>Beruházási kiadások</t>
  </si>
  <si>
    <t>KÖFOP-1.2.1-VEKOP-16-2017-00658 pályázat összköltsége</t>
  </si>
  <si>
    <t>VEKOP-6.1.1-15-PT1-2016-00132 Kisgyermeket nevelő szülők munkavállalási aktivitásának növelése</t>
  </si>
  <si>
    <t>VEKOP-6.1.1-15-PT1-2016-00132 Kisgyermeket nevelő szülők munkavállalási aktivitásának növelése pályázat összbevétele</t>
  </si>
  <si>
    <t>VEKOP-6.1.1-15-PT1-2016-00132 Kisgyermeket nevelő szülők munkavállalási aktivitásának növelése összköltsége</t>
  </si>
  <si>
    <t>KEHOP-5.2.9-16-2016-00056 Pilisvörösvár szakrendelő épületének és az egészségháznak az energiahatékonysági felújítása</t>
  </si>
  <si>
    <t>KEHOP-5.2.9-16-2016-00056 Pilisvörösvár szakrendelő épületének és az egészségháznak az energiahatékonysági felújítása összbevétele</t>
  </si>
  <si>
    <t xml:space="preserve">2016. év </t>
  </si>
  <si>
    <t>KEHOP-5.2.9-16-2016-00056 Pilisvörösvár szakrendelő épületének és az egészségháznak az energiahatékonysági felújítása összköltsége</t>
  </si>
  <si>
    <t>30.sz.  melléklet</t>
  </si>
  <si>
    <t>2016. év</t>
  </si>
  <si>
    <t xml:space="preserve">30. melléklet </t>
  </si>
  <si>
    <t>KÖFOP-1.2.1-VEKOP-16-2017-00658 „PILISVÖRÖSVÁR VÁROS ÖNKORMÁNYZATA ASP KÖZPONTHOZ VALÓ CSATLAKOZÁSA” pályázat összbevétele</t>
  </si>
  <si>
    <t>Pilisvörösvár Város Önkormányzata Képviselő-testületének 7/2018. (IV. 27.) önkormányzati rendelete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</si>
</sst>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Ft&quot;_-;\-* #,##0.00\ &quot;Ft&quot;_-;_-* &quot;-&quot;??\ &quot;Ft&quot;_-;_-@_-"/>
    <numFmt numFmtId="43" formatCode="_-* #,##0.00\ _F_t_-;\-* #,##0.00\ _F_t_-;_-* &quot;-&quot;??\ _F_t_-;_-@_-"/>
    <numFmt numFmtId="164" formatCode="_-* #,##0\ _F_t_-;\-* #,##0\ _F_t_-;_-* &quot;-&quot;??\ _F_t_-;_-@_-"/>
    <numFmt numFmtId="165" formatCode="0__"/>
    <numFmt numFmtId="167" formatCode="\ ##########"/>
    <numFmt numFmtId="168" formatCode="[&gt;0]#,##0;[&lt;0]\-#,##0;\-#"/>
    <numFmt numFmtId="169" formatCode="#,##0_ ;[Red]\-#,##0\ "/>
    <numFmt numFmtId="170" formatCode="#,##0_ ;\-#,##0\ "/>
    <numFmt numFmtId="171" formatCode="#,##0.00000000000"/>
    <numFmt numFmtId="172" formatCode="0.000%"/>
  </numFmts>
  <fonts count="222" x14ac:knownFonts="1">
    <font>
      <sz val="10"/>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1"/>
      <color indexed="8"/>
      <name val="Calibri"/>
      <family val="2"/>
      <charset val="238"/>
    </font>
    <font>
      <sz val="11"/>
      <color indexed="8"/>
      <name val="Bookman Old Style"/>
      <family val="1"/>
      <charset val="238"/>
    </font>
    <font>
      <sz val="10"/>
      <name val="Arial CE"/>
      <charset val="238"/>
    </font>
    <font>
      <b/>
      <sz val="12"/>
      <name val="Arial"/>
      <family val="2"/>
      <charset val="238"/>
    </font>
    <font>
      <sz val="10"/>
      <name val="Arial"/>
      <family val="2"/>
      <charset val="238"/>
    </font>
    <font>
      <b/>
      <sz val="12"/>
      <name val="Times New Roman"/>
      <family val="1"/>
      <charset val="238"/>
    </font>
    <font>
      <sz val="11"/>
      <color indexed="8"/>
      <name val="Times New Roman"/>
      <family val="1"/>
      <charset val="238"/>
    </font>
    <font>
      <sz val="10"/>
      <color indexed="8"/>
      <name val="Times New Roman"/>
      <family val="1"/>
      <charset val="238"/>
    </font>
    <font>
      <b/>
      <sz val="10"/>
      <color indexed="8"/>
      <name val="Times New Roman"/>
      <family val="1"/>
      <charset val="238"/>
    </font>
    <font>
      <sz val="12"/>
      <color indexed="8"/>
      <name val="Times New Roman"/>
      <family val="1"/>
      <charset val="238"/>
    </font>
    <font>
      <sz val="12"/>
      <name val="Times New Roman"/>
      <family val="1"/>
      <charset val="238"/>
    </font>
    <font>
      <sz val="12"/>
      <color indexed="8"/>
      <name val="Times New Roman"/>
      <family val="1"/>
      <charset val="238"/>
    </font>
    <font>
      <b/>
      <sz val="12"/>
      <color indexed="8"/>
      <name val="Times New Roman"/>
      <family val="1"/>
      <charset val="238"/>
    </font>
    <font>
      <b/>
      <sz val="14"/>
      <name val="Times New Roman"/>
      <family val="1"/>
      <charset val="238"/>
    </font>
    <font>
      <sz val="14"/>
      <color indexed="8"/>
      <name val="Times New Roman"/>
      <family val="1"/>
      <charset val="238"/>
    </font>
    <font>
      <sz val="10"/>
      <name val="Times New Roman CE"/>
      <charset val="238"/>
    </font>
    <font>
      <sz val="11"/>
      <color indexed="8"/>
      <name val="Calibri"/>
      <family val="2"/>
      <charset val="238"/>
    </font>
    <font>
      <sz val="11"/>
      <color indexed="9"/>
      <name val="Calibri"/>
      <family val="2"/>
      <charset val="238"/>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10"/>
      <name val="Calibri"/>
      <family val="2"/>
      <charset val="238"/>
    </font>
    <font>
      <sz val="11"/>
      <color indexed="52"/>
      <name val="Calibri"/>
      <family val="2"/>
      <charset val="238"/>
    </font>
    <font>
      <sz val="11"/>
      <color indexed="17"/>
      <name val="Calibri"/>
      <family val="2"/>
      <charset val="238"/>
    </font>
    <font>
      <b/>
      <sz val="11"/>
      <color indexed="63"/>
      <name val="Calibri"/>
      <family val="2"/>
      <charset val="238"/>
    </font>
    <font>
      <i/>
      <sz val="11"/>
      <color indexed="23"/>
      <name val="Calibri"/>
      <family val="2"/>
      <charset val="238"/>
    </font>
    <font>
      <b/>
      <sz val="11"/>
      <color indexed="8"/>
      <name val="Calibri"/>
      <family val="2"/>
      <charset val="238"/>
    </font>
    <font>
      <sz val="11"/>
      <color indexed="20"/>
      <name val="Calibri"/>
      <family val="2"/>
      <charset val="238"/>
    </font>
    <font>
      <sz val="11"/>
      <color indexed="60"/>
      <name val="Calibri"/>
      <family val="2"/>
      <charset val="238"/>
    </font>
    <font>
      <b/>
      <sz val="11"/>
      <color indexed="52"/>
      <name val="Calibri"/>
      <family val="2"/>
      <charset val="238"/>
    </font>
    <font>
      <b/>
      <sz val="10"/>
      <name val="Arial"/>
      <family val="2"/>
      <charset val="238"/>
    </font>
    <font>
      <b/>
      <sz val="8"/>
      <color indexed="8"/>
      <name val="Arial CE"/>
      <family val="2"/>
    </font>
    <font>
      <b/>
      <sz val="9"/>
      <name val="Arial"/>
      <family val="2"/>
      <charset val="238"/>
    </font>
    <font>
      <i/>
      <sz val="9"/>
      <name val="Arial"/>
      <family val="2"/>
      <charset val="238"/>
    </font>
    <font>
      <b/>
      <sz val="9"/>
      <color indexed="8"/>
      <name val="Arial CE"/>
      <charset val="238"/>
    </font>
    <font>
      <b/>
      <i/>
      <sz val="9"/>
      <color indexed="8"/>
      <name val="Arial CE"/>
      <charset val="238"/>
    </font>
    <font>
      <sz val="9"/>
      <name val="Arial"/>
      <family val="2"/>
      <charset val="238"/>
    </font>
    <font>
      <b/>
      <i/>
      <sz val="12"/>
      <name val="Times New Roman"/>
      <family val="1"/>
      <charset val="238"/>
    </font>
    <font>
      <b/>
      <sz val="14"/>
      <color indexed="8"/>
      <name val="Times New Roman"/>
      <family val="1"/>
      <charset val="238"/>
    </font>
    <font>
      <sz val="14"/>
      <name val="Times New Roman"/>
      <family val="1"/>
      <charset val="238"/>
    </font>
    <font>
      <i/>
      <sz val="12"/>
      <color indexed="8"/>
      <name val="Times New Roman"/>
      <family val="1"/>
      <charset val="238"/>
    </font>
    <font>
      <sz val="12"/>
      <name val="Arial"/>
      <family val="2"/>
      <charset val="238"/>
    </font>
    <font>
      <sz val="10"/>
      <name val="Georgia"/>
      <family val="1"/>
      <charset val="238"/>
    </font>
    <font>
      <sz val="10"/>
      <name val="Arial"/>
      <family val="2"/>
      <charset val="238"/>
    </font>
    <font>
      <sz val="10"/>
      <name val="Times New Roman"/>
      <family val="1"/>
      <charset val="238"/>
    </font>
    <font>
      <b/>
      <sz val="16"/>
      <name val="Times New Roman"/>
      <family val="1"/>
      <charset val="238"/>
    </font>
    <font>
      <b/>
      <sz val="13"/>
      <name val="Times New Roman"/>
      <family val="1"/>
      <charset val="238"/>
    </font>
    <font>
      <sz val="13"/>
      <name val="Times New Roman"/>
      <family val="1"/>
      <charset val="238"/>
    </font>
    <font>
      <sz val="11"/>
      <name val="Times New Roman"/>
      <family val="1"/>
      <charset val="238"/>
    </font>
    <font>
      <b/>
      <sz val="11"/>
      <color indexed="8"/>
      <name val="Times New Roman"/>
      <family val="1"/>
      <charset val="238"/>
    </font>
    <font>
      <sz val="8"/>
      <name val="Calibri"/>
      <family val="2"/>
      <charset val="238"/>
    </font>
    <font>
      <b/>
      <sz val="10"/>
      <name val="Times New Roman"/>
      <family val="1"/>
      <charset val="238"/>
    </font>
    <font>
      <b/>
      <i/>
      <sz val="14"/>
      <color indexed="8"/>
      <name val="Times New Roman"/>
      <family val="1"/>
      <charset val="238"/>
    </font>
    <font>
      <b/>
      <sz val="11"/>
      <name val="Times New Roman"/>
      <family val="1"/>
      <charset val="238"/>
    </font>
    <font>
      <b/>
      <i/>
      <sz val="12"/>
      <color indexed="8"/>
      <name val="Times New Roman"/>
      <family val="1"/>
      <charset val="238"/>
    </font>
    <font>
      <sz val="16"/>
      <name val="Times New Roman"/>
      <family val="1"/>
      <charset val="238"/>
    </font>
    <font>
      <sz val="9"/>
      <name val="Times New Roman"/>
      <family val="1"/>
      <charset val="238"/>
    </font>
    <font>
      <b/>
      <sz val="10"/>
      <color indexed="8"/>
      <name val="Calibri"/>
      <family val="2"/>
      <charset val="238"/>
    </font>
    <font>
      <i/>
      <sz val="12"/>
      <name val="Times New Roman"/>
      <family val="1"/>
      <charset val="238"/>
    </font>
    <font>
      <b/>
      <i/>
      <sz val="11"/>
      <name val="Times New Roman"/>
      <family val="1"/>
      <charset val="238"/>
    </font>
    <font>
      <b/>
      <sz val="12"/>
      <color indexed="8"/>
      <name val="Calibri"/>
      <family val="2"/>
      <charset val="238"/>
    </font>
    <font>
      <b/>
      <sz val="14"/>
      <color indexed="8"/>
      <name val="Arial CE"/>
      <family val="2"/>
      <charset val="238"/>
    </font>
    <font>
      <sz val="9"/>
      <name val="Arial"/>
      <family val="2"/>
    </font>
    <font>
      <b/>
      <i/>
      <sz val="9"/>
      <name val="Arial"/>
      <family val="2"/>
      <charset val="238"/>
    </font>
    <font>
      <i/>
      <sz val="10"/>
      <name val="Arial"/>
      <family val="2"/>
      <charset val="238"/>
    </font>
    <font>
      <sz val="11"/>
      <name val="Arial"/>
      <family val="2"/>
      <charset val="238"/>
    </font>
    <font>
      <b/>
      <sz val="9"/>
      <name val="Times New Roman"/>
      <family val="1"/>
      <charset val="238"/>
    </font>
    <font>
      <sz val="9"/>
      <color indexed="8"/>
      <name val="Calibri"/>
      <family val="2"/>
      <charset val="238"/>
    </font>
    <font>
      <b/>
      <sz val="9"/>
      <color indexed="8"/>
      <name val="Times New Roman"/>
      <family val="1"/>
      <charset val="238"/>
    </font>
    <font>
      <sz val="14"/>
      <color indexed="8"/>
      <name val="Calibri"/>
      <family val="2"/>
      <charset val="238"/>
    </font>
    <font>
      <sz val="13"/>
      <color indexed="8"/>
      <name val="Times New Roman"/>
      <family val="1"/>
      <charset val="238"/>
    </font>
    <font>
      <b/>
      <sz val="13"/>
      <color indexed="8"/>
      <name val="Times New Roman"/>
      <family val="1"/>
      <charset val="238"/>
    </font>
    <font>
      <sz val="13"/>
      <color indexed="8"/>
      <name val="Bookman Old Style"/>
      <family val="1"/>
      <charset val="238"/>
    </font>
    <font>
      <i/>
      <sz val="14"/>
      <name val="Times New Roman"/>
      <family val="1"/>
      <charset val="238"/>
    </font>
    <font>
      <b/>
      <sz val="14"/>
      <color indexed="8"/>
      <name val="Calibri"/>
      <family val="2"/>
      <charset val="238"/>
    </font>
    <font>
      <sz val="9"/>
      <color indexed="8"/>
      <name val="Times New Roman"/>
      <family val="1"/>
      <charset val="238"/>
    </font>
    <font>
      <sz val="10"/>
      <name val="Arial"/>
      <family val="2"/>
      <charset val="238"/>
    </font>
    <font>
      <sz val="8"/>
      <color indexed="8"/>
      <name val="Arial CE"/>
      <charset val="238"/>
    </font>
    <font>
      <i/>
      <sz val="10"/>
      <name val="Times New Roman"/>
      <family val="1"/>
      <charset val="238"/>
    </font>
    <font>
      <sz val="8"/>
      <name val="Arial CE"/>
    </font>
    <font>
      <b/>
      <sz val="16"/>
      <color indexed="8"/>
      <name val="Times New Roman"/>
      <family val="1"/>
      <charset val="238"/>
    </font>
    <font>
      <sz val="16"/>
      <color indexed="8"/>
      <name val="Times New Roman"/>
      <family val="1"/>
      <charset val="238"/>
    </font>
    <font>
      <i/>
      <sz val="11"/>
      <name val="Times New Roman"/>
      <family val="1"/>
      <charset val="238"/>
    </font>
    <font>
      <i/>
      <sz val="9"/>
      <name val="Times New Roman"/>
      <family val="1"/>
      <charset val="238"/>
    </font>
    <font>
      <b/>
      <i/>
      <sz val="9"/>
      <name val="Times New Roman"/>
      <family val="1"/>
      <charset val="238"/>
    </font>
    <font>
      <b/>
      <i/>
      <u/>
      <sz val="12"/>
      <color indexed="8"/>
      <name val="Times New Roman"/>
      <family val="1"/>
      <charset val="238"/>
    </font>
    <font>
      <sz val="14"/>
      <color indexed="8"/>
      <name val="Times New Roman"/>
      <family val="1"/>
      <charset val="238"/>
    </font>
    <font>
      <b/>
      <i/>
      <u/>
      <sz val="14"/>
      <color indexed="8"/>
      <name val="Times New Roman"/>
      <family val="1"/>
      <charset val="238"/>
    </font>
    <font>
      <b/>
      <i/>
      <sz val="14"/>
      <name val="Times New Roman"/>
      <family val="1"/>
      <charset val="238"/>
    </font>
    <font>
      <i/>
      <sz val="14"/>
      <color indexed="8"/>
      <name val="Times New Roman"/>
      <family val="1"/>
      <charset val="238"/>
    </font>
    <font>
      <sz val="20"/>
      <color indexed="8"/>
      <name val="Times New Roman"/>
      <family val="1"/>
      <charset val="238"/>
    </font>
    <font>
      <sz val="20"/>
      <name val="Times New Roman"/>
      <family val="1"/>
      <charset val="238"/>
    </font>
    <font>
      <b/>
      <sz val="20"/>
      <name val="Times New Roman"/>
      <family val="1"/>
      <charset val="238"/>
    </font>
    <font>
      <sz val="18"/>
      <color indexed="8"/>
      <name val="Times New Roman"/>
      <family val="1"/>
      <charset val="238"/>
    </font>
    <font>
      <b/>
      <sz val="18"/>
      <color indexed="8"/>
      <name val="Times New Roman"/>
      <family val="1"/>
      <charset val="238"/>
    </font>
    <font>
      <sz val="16"/>
      <color indexed="8"/>
      <name val="Calibri"/>
      <family val="2"/>
      <charset val="238"/>
    </font>
    <font>
      <sz val="18"/>
      <name val="Times New Roman"/>
      <family val="1"/>
      <charset val="238"/>
    </font>
    <font>
      <b/>
      <sz val="18"/>
      <name val="Times New Roman"/>
      <family val="1"/>
      <charset val="238"/>
    </font>
    <font>
      <i/>
      <sz val="10"/>
      <color indexed="8"/>
      <name val="Arial CE"/>
      <charset val="238"/>
    </font>
    <font>
      <sz val="10"/>
      <color indexed="8"/>
      <name val="Arial CE"/>
      <charset val="238"/>
    </font>
    <font>
      <b/>
      <i/>
      <sz val="11"/>
      <color indexed="8"/>
      <name val="Arial CE"/>
      <charset val="238"/>
    </font>
    <font>
      <b/>
      <i/>
      <sz val="10"/>
      <name val="Arial CE"/>
      <charset val="238"/>
    </font>
    <font>
      <sz val="8"/>
      <color indexed="81"/>
      <name val="Tahoma"/>
      <family val="2"/>
      <charset val="238"/>
    </font>
    <font>
      <b/>
      <sz val="8"/>
      <color indexed="81"/>
      <name val="Tahoma"/>
      <family val="2"/>
      <charset val="238"/>
    </font>
    <font>
      <b/>
      <sz val="20"/>
      <color indexed="8"/>
      <name val="Times New Roman"/>
      <family val="1"/>
      <charset val="238"/>
    </font>
    <font>
      <sz val="11"/>
      <color theme="1"/>
      <name val="Calibri"/>
      <family val="2"/>
      <charset val="238"/>
      <scheme val="minor"/>
    </font>
    <font>
      <sz val="14"/>
      <color theme="1"/>
      <name val="Calibri"/>
      <family val="2"/>
      <charset val="238"/>
      <scheme val="minor"/>
    </font>
    <font>
      <b/>
      <u/>
      <sz val="14"/>
      <color indexed="8"/>
      <name val="Times New Roman"/>
      <family val="1"/>
      <charset val="238"/>
    </font>
    <font>
      <u/>
      <sz val="14"/>
      <color indexed="8"/>
      <name val="Times New Roman"/>
      <family val="1"/>
      <charset val="238"/>
    </font>
    <font>
      <sz val="10"/>
      <color theme="1"/>
      <name val="Calibri"/>
      <family val="2"/>
      <charset val="238"/>
      <scheme val="minor"/>
    </font>
    <font>
      <sz val="9"/>
      <color indexed="81"/>
      <name val="Tahoma"/>
      <family val="2"/>
      <charset val="238"/>
    </font>
    <font>
      <b/>
      <sz val="9"/>
      <color indexed="81"/>
      <name val="Tahoma"/>
      <family val="2"/>
      <charset val="238"/>
    </font>
    <font>
      <sz val="11"/>
      <color indexed="81"/>
      <name val="Tahoma"/>
      <family val="2"/>
      <charset val="238"/>
    </font>
    <font>
      <sz val="14"/>
      <color rgb="FFFF0000"/>
      <name val="Times New Roman"/>
      <family val="1"/>
      <charset val="238"/>
    </font>
    <font>
      <sz val="12"/>
      <color rgb="FFFF0000"/>
      <name val="Times New Roman"/>
      <family val="1"/>
      <charset val="238"/>
    </font>
    <font>
      <u/>
      <sz val="12"/>
      <color indexed="8"/>
      <name val="Times New Roman"/>
      <family val="1"/>
      <charset val="238"/>
    </font>
    <font>
      <sz val="9"/>
      <color rgb="FFFF0000"/>
      <name val="Times New Roman"/>
      <family val="1"/>
      <charset val="238"/>
    </font>
    <font>
      <sz val="8"/>
      <color indexed="10"/>
      <name val="Tahoma"/>
      <family val="2"/>
      <charset val="238"/>
    </font>
    <font>
      <b/>
      <sz val="8"/>
      <color indexed="10"/>
      <name val="Tahoma"/>
      <family val="2"/>
      <charset val="238"/>
    </font>
    <font>
      <b/>
      <sz val="14"/>
      <color rgb="FFFF0000"/>
      <name val="Times New Roman"/>
      <family val="1"/>
      <charset val="238"/>
    </font>
    <font>
      <b/>
      <sz val="18"/>
      <color theme="1"/>
      <name val="Calibri"/>
      <family val="2"/>
      <charset val="238"/>
      <scheme val="minor"/>
    </font>
    <font>
      <sz val="18"/>
      <color theme="1"/>
      <name val="Times New Roman"/>
      <family val="1"/>
      <charset val="238"/>
    </font>
    <font>
      <b/>
      <i/>
      <sz val="16"/>
      <name val="Times New Roman"/>
      <family val="1"/>
      <charset val="238"/>
    </font>
    <font>
      <b/>
      <sz val="22"/>
      <name val="Times New Roman"/>
      <family val="1"/>
      <charset val="238"/>
    </font>
    <font>
      <sz val="22"/>
      <name val="Times New Roman"/>
      <family val="1"/>
      <charset val="238"/>
    </font>
    <font>
      <i/>
      <sz val="9"/>
      <color indexed="8"/>
      <name val="Arial CE"/>
    </font>
    <font>
      <sz val="24"/>
      <name val="Times New Roman"/>
      <family val="1"/>
      <charset val="238"/>
    </font>
    <font>
      <b/>
      <sz val="24"/>
      <name val="Times New Roman"/>
      <family val="1"/>
      <charset val="238"/>
    </font>
    <font>
      <sz val="26"/>
      <name val="Times New Roman"/>
      <family val="1"/>
      <charset val="238"/>
    </font>
    <font>
      <b/>
      <sz val="26"/>
      <name val="Times New Roman"/>
      <family val="1"/>
      <charset val="238"/>
    </font>
    <font>
      <sz val="20"/>
      <color theme="1"/>
      <name val="Calibri"/>
      <family val="2"/>
      <charset val="238"/>
      <scheme val="minor"/>
    </font>
    <font>
      <sz val="11"/>
      <color rgb="FFFF0000"/>
      <name val="Times New Roman"/>
      <family val="1"/>
      <charset val="238"/>
    </font>
    <font>
      <b/>
      <sz val="12"/>
      <color rgb="FFFF0000"/>
      <name val="Calibri"/>
      <family val="2"/>
      <charset val="238"/>
    </font>
    <font>
      <i/>
      <sz val="18"/>
      <name val="Times New Roman"/>
      <family val="1"/>
      <charset val="238"/>
    </font>
    <font>
      <sz val="14"/>
      <color rgb="FFFF0000"/>
      <name val="Calibri"/>
      <family val="2"/>
      <charset val="238"/>
    </font>
    <font>
      <i/>
      <sz val="20"/>
      <name val="Times New Roman"/>
      <family val="1"/>
      <charset val="238"/>
    </font>
    <font>
      <b/>
      <i/>
      <sz val="20"/>
      <name val="Times New Roman"/>
      <family val="1"/>
      <charset val="238"/>
    </font>
    <font>
      <b/>
      <i/>
      <sz val="18"/>
      <name val="Times New Roman"/>
      <family val="1"/>
      <charset val="238"/>
    </font>
    <font>
      <sz val="20"/>
      <color indexed="8"/>
      <name val="Calibri"/>
      <family val="2"/>
      <charset val="238"/>
    </font>
    <font>
      <sz val="16"/>
      <color theme="1"/>
      <name val="Calibri"/>
      <family val="2"/>
      <charset val="238"/>
      <scheme val="minor"/>
    </font>
    <font>
      <sz val="28"/>
      <name val="Times New Roman"/>
      <family val="1"/>
      <charset val="238"/>
    </font>
    <font>
      <b/>
      <sz val="28"/>
      <name val="Times New Roman"/>
      <family val="1"/>
      <charset val="238"/>
    </font>
    <font>
      <sz val="28"/>
      <color indexed="8"/>
      <name val="Times New Roman"/>
      <family val="1"/>
      <charset val="238"/>
    </font>
    <font>
      <b/>
      <sz val="18"/>
      <color indexed="8"/>
      <name val="Arial CE"/>
      <family val="2"/>
      <charset val="238"/>
    </font>
    <font>
      <b/>
      <sz val="22"/>
      <color indexed="8"/>
      <name val="Times New Roman"/>
      <family val="1"/>
      <charset val="238"/>
    </font>
    <font>
      <b/>
      <sz val="24"/>
      <color theme="1"/>
      <name val="Times New Roman"/>
      <family val="1"/>
      <charset val="238"/>
    </font>
    <font>
      <sz val="24"/>
      <color theme="1"/>
      <name val="Times New Roman"/>
      <family val="1"/>
      <charset val="238"/>
    </font>
    <font>
      <sz val="22"/>
      <color theme="1"/>
      <name val="Calibri"/>
      <family val="2"/>
      <charset val="238"/>
      <scheme val="minor"/>
    </font>
    <font>
      <i/>
      <sz val="16"/>
      <name val="Times New Roman"/>
      <family val="1"/>
      <charset val="238"/>
    </font>
    <font>
      <sz val="36"/>
      <name val="Times New Roman"/>
      <family val="1"/>
      <charset val="238"/>
    </font>
    <font>
      <b/>
      <sz val="36"/>
      <name val="Times New Roman"/>
      <family val="1"/>
      <charset val="238"/>
    </font>
    <font>
      <sz val="22"/>
      <color indexed="8"/>
      <name val="Times New Roman"/>
      <family val="1"/>
      <charset val="238"/>
    </font>
    <font>
      <b/>
      <sz val="10"/>
      <color theme="1"/>
      <name val="Calibri"/>
      <family val="2"/>
      <charset val="238"/>
      <scheme val="minor"/>
    </font>
    <font>
      <b/>
      <i/>
      <sz val="22"/>
      <name val="Times New Roman"/>
      <family val="1"/>
      <charset val="238"/>
    </font>
    <font>
      <b/>
      <sz val="16"/>
      <color theme="1"/>
      <name val="Calibri"/>
      <family val="2"/>
      <charset val="238"/>
      <scheme val="minor"/>
    </font>
    <font>
      <b/>
      <sz val="24"/>
      <color indexed="8"/>
      <name val="Times New Roman"/>
      <family val="1"/>
      <charset val="238"/>
    </font>
    <font>
      <sz val="24"/>
      <color indexed="8"/>
      <name val="Times New Roman"/>
      <family val="1"/>
      <charset val="238"/>
    </font>
    <font>
      <sz val="24"/>
      <color theme="1"/>
      <name val="Calibri"/>
      <family val="2"/>
      <charset val="238"/>
      <scheme val="minor"/>
    </font>
    <font>
      <b/>
      <sz val="20"/>
      <color indexed="8"/>
      <name val="Arial"/>
      <family val="2"/>
      <charset val="238"/>
    </font>
    <font>
      <b/>
      <sz val="18"/>
      <color indexed="8"/>
      <name val="Arial"/>
      <family val="2"/>
      <charset val="238"/>
    </font>
    <font>
      <sz val="20"/>
      <color indexed="8"/>
      <name val="Arial"/>
      <family val="2"/>
      <charset val="238"/>
    </font>
    <font>
      <sz val="20"/>
      <name val="Arial"/>
      <family val="2"/>
      <charset val="238"/>
    </font>
    <font>
      <i/>
      <sz val="16"/>
      <color indexed="8"/>
      <name val="Times New Roman"/>
      <family val="1"/>
      <charset val="238"/>
    </font>
    <font>
      <sz val="18"/>
      <color theme="1"/>
      <name val="Calibri"/>
      <family val="2"/>
      <charset val="238"/>
      <scheme val="minor"/>
    </font>
    <font>
      <sz val="18"/>
      <name val="Bookman Old Style"/>
      <family val="1"/>
      <charset val="238"/>
    </font>
    <font>
      <b/>
      <i/>
      <sz val="20"/>
      <color indexed="8"/>
      <name val="Times New Roman"/>
      <family val="1"/>
      <charset val="238"/>
    </font>
    <font>
      <b/>
      <sz val="18"/>
      <color indexed="8"/>
      <name val="Calibri"/>
      <family val="2"/>
      <charset val="238"/>
    </font>
    <font>
      <b/>
      <sz val="20"/>
      <color indexed="8"/>
      <name val="Calibri"/>
      <family val="2"/>
      <charset val="238"/>
    </font>
    <font>
      <sz val="18"/>
      <color rgb="FF000000"/>
      <name val="Times"/>
      <charset val="238"/>
    </font>
    <font>
      <b/>
      <sz val="20"/>
      <name val="Calibri"/>
      <family val="2"/>
      <charset val="238"/>
      <scheme val="minor"/>
    </font>
    <font>
      <b/>
      <sz val="24"/>
      <color theme="1"/>
      <name val="Calibri"/>
      <family val="2"/>
      <charset val="238"/>
      <scheme val="minor"/>
    </font>
    <font>
      <b/>
      <sz val="20"/>
      <color rgb="FFFF0000"/>
      <name val="Times New Roman"/>
      <family val="1"/>
      <charset val="238"/>
    </font>
    <font>
      <sz val="20"/>
      <color rgb="FFFF0000"/>
      <name val="Calibri"/>
      <family val="2"/>
      <charset val="238"/>
    </font>
    <font>
      <sz val="20"/>
      <color rgb="FFFF0000"/>
      <name val="Times New Roman"/>
      <family val="1"/>
      <charset val="238"/>
    </font>
    <font>
      <b/>
      <sz val="20"/>
      <color theme="1"/>
      <name val="Calibri"/>
      <family val="2"/>
      <charset val="238"/>
      <scheme val="minor"/>
    </font>
    <font>
      <i/>
      <sz val="22"/>
      <name val="Times New Roman"/>
      <family val="1"/>
      <charset val="238"/>
    </font>
    <font>
      <sz val="22"/>
      <color indexed="8"/>
      <name val="Calibri"/>
      <family val="2"/>
      <charset val="238"/>
    </font>
    <font>
      <b/>
      <i/>
      <sz val="22"/>
      <color indexed="8"/>
      <name val="Times New Roman"/>
      <family val="1"/>
      <charset val="238"/>
    </font>
    <font>
      <b/>
      <sz val="36"/>
      <color indexed="8"/>
      <name val="Times New Roman"/>
      <family val="1"/>
      <charset val="238"/>
    </font>
    <font>
      <sz val="36"/>
      <color theme="1"/>
      <name val="Calibri"/>
      <family val="2"/>
      <charset val="238"/>
      <scheme val="minor"/>
    </font>
    <font>
      <sz val="36"/>
      <color indexed="8"/>
      <name val="Times New Roman"/>
      <family val="1"/>
      <charset val="238"/>
    </font>
    <font>
      <sz val="36"/>
      <color indexed="8"/>
      <name val="Calibri"/>
      <family val="2"/>
      <charset val="238"/>
    </font>
    <font>
      <b/>
      <sz val="14"/>
      <color theme="1"/>
      <name val="Times New Roman"/>
      <family val="1"/>
      <charset val="238"/>
    </font>
    <font>
      <sz val="22"/>
      <color theme="1"/>
      <name val="Times New Roman"/>
      <family val="1"/>
      <charset val="238"/>
    </font>
    <font>
      <sz val="12"/>
      <color theme="1"/>
      <name val="Times New Roman"/>
      <family val="1"/>
      <charset val="238"/>
    </font>
    <font>
      <sz val="14"/>
      <color theme="1"/>
      <name val="Times New Roman"/>
      <family val="1"/>
      <charset val="238"/>
    </font>
    <font>
      <b/>
      <i/>
      <sz val="14"/>
      <color theme="1"/>
      <name val="Times New Roman"/>
      <family val="1"/>
      <charset val="238"/>
    </font>
    <font>
      <sz val="11"/>
      <color theme="1"/>
      <name val="Times New Roman"/>
      <family val="1"/>
      <charset val="238"/>
    </font>
    <font>
      <sz val="11"/>
      <name val="Calibri"/>
      <family val="2"/>
      <charset val="238"/>
      <scheme val="minor"/>
    </font>
    <font>
      <b/>
      <sz val="12"/>
      <color theme="1"/>
      <name val="Times New Roman"/>
      <family val="1"/>
      <charset val="238"/>
    </font>
    <font>
      <sz val="12"/>
      <name val="Arial"/>
      <family val="2"/>
      <charset val="238"/>
    </font>
    <font>
      <sz val="10"/>
      <name val="Arial"/>
      <family val="2"/>
      <charset val="238"/>
    </font>
    <font>
      <b/>
      <sz val="10"/>
      <name val="Arial"/>
      <family val="2"/>
      <charset val="238"/>
    </font>
    <font>
      <b/>
      <sz val="11"/>
      <name val="Arial"/>
      <family val="2"/>
      <charset val="238"/>
    </font>
    <font>
      <sz val="14"/>
      <name val="Arial CE"/>
      <charset val="238"/>
    </font>
    <font>
      <b/>
      <sz val="14"/>
      <name val="Arial"/>
      <family val="2"/>
      <charset val="238"/>
    </font>
    <font>
      <sz val="14"/>
      <name val="Arial"/>
      <family val="2"/>
      <charset val="238"/>
    </font>
    <font>
      <b/>
      <sz val="26"/>
      <color indexed="8"/>
      <name val="Times New Roman"/>
      <family val="1"/>
      <charset val="238"/>
    </font>
    <font>
      <sz val="26"/>
      <color theme="1"/>
      <name val="Calibri"/>
      <family val="2"/>
      <charset val="238"/>
      <scheme val="minor"/>
    </font>
    <font>
      <sz val="26"/>
      <color indexed="8"/>
      <name val="Times New Roman"/>
      <family val="1"/>
      <charset val="238"/>
    </font>
    <font>
      <b/>
      <sz val="22"/>
      <color theme="1"/>
      <name val="Calibri"/>
      <family val="2"/>
      <charset val="238"/>
      <scheme val="minor"/>
    </font>
    <font>
      <b/>
      <sz val="12"/>
      <color rgb="FFFF0000"/>
      <name val="Times New Roman"/>
      <family val="1"/>
      <charset val="238"/>
    </font>
    <font>
      <b/>
      <i/>
      <sz val="12"/>
      <color rgb="FFFF0000"/>
      <name val="Times New Roman"/>
      <family val="1"/>
      <charset val="238"/>
    </font>
    <font>
      <b/>
      <i/>
      <sz val="12"/>
      <color theme="1"/>
      <name val="Times New Roman"/>
      <family val="1"/>
      <charset val="238"/>
    </font>
    <font>
      <i/>
      <sz val="12"/>
      <color theme="1"/>
      <name val="Times New Roman"/>
      <family val="1"/>
      <charset val="238"/>
    </font>
    <font>
      <sz val="12"/>
      <color theme="1"/>
      <name val="Calibri"/>
      <family val="2"/>
      <charset val="238"/>
      <scheme val="minor"/>
    </font>
    <font>
      <sz val="12"/>
      <name val="Calibri"/>
      <family val="2"/>
      <charset val="238"/>
      <scheme val="minor"/>
    </font>
    <font>
      <sz val="13"/>
      <color theme="1"/>
      <name val="Times New Roman"/>
      <family val="1"/>
      <charset val="238"/>
    </font>
    <font>
      <b/>
      <sz val="13"/>
      <color theme="1"/>
      <name val="Times New Roman"/>
      <family val="1"/>
      <charset val="238"/>
    </font>
    <font>
      <b/>
      <sz val="18"/>
      <color rgb="FFFF0000"/>
      <name val="Times New Roman"/>
      <family val="1"/>
      <charset val="238"/>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11"/>
        <bgColor indexed="64"/>
      </patternFill>
    </fill>
    <fill>
      <patternFill patternType="solid">
        <fgColor indexed="13"/>
        <bgColor indexed="64"/>
      </patternFill>
    </fill>
    <fill>
      <patternFill patternType="solid">
        <fgColor indexed="50"/>
        <bgColor indexed="64"/>
      </patternFill>
    </fill>
    <fill>
      <patternFill patternType="solid">
        <fgColor indexed="51"/>
        <bgColor indexed="64"/>
      </patternFill>
    </fill>
    <fill>
      <patternFill patternType="solid">
        <fgColor indexed="46"/>
        <bgColor indexed="64"/>
      </patternFill>
    </fill>
    <fill>
      <patternFill patternType="solid">
        <fgColor indexed="42"/>
        <bgColor indexed="64"/>
      </patternFill>
    </fill>
    <fill>
      <patternFill patternType="solid">
        <fgColor indexed="57"/>
        <bgColor indexed="64"/>
      </patternFill>
    </fill>
    <fill>
      <patternFill patternType="solid">
        <fgColor rgb="FF66FF33"/>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indexed="49"/>
        <bgColor indexed="64"/>
      </patternFill>
    </fill>
  </fills>
  <borders count="97">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style="medium">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02">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7"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16" borderId="5"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43" fontId="13" fillId="0" borderId="0" applyFont="0" applyFill="0" applyBorder="0" applyAlignment="0" applyProtection="0"/>
    <xf numFmtId="0" fontId="13" fillId="0" borderId="0" applyFon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13" fillId="17" borderId="7" applyNumberFormat="0" applyFont="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35" fillId="4" borderId="0" applyNumberFormat="0" applyBorder="0" applyAlignment="0" applyProtection="0"/>
    <xf numFmtId="0" fontId="36" fillId="22" borderId="8" applyNumberFormat="0" applyAlignment="0" applyProtection="0"/>
    <xf numFmtId="0" fontId="37" fillId="0" borderId="0" applyNumberFormat="0" applyFill="0" applyBorder="0" applyAlignment="0" applyProtection="0"/>
    <xf numFmtId="0" fontId="117" fillId="0" borderId="0"/>
    <xf numFmtId="0" fontId="13" fillId="0" borderId="0"/>
    <xf numFmtId="0" fontId="117" fillId="0" borderId="0"/>
    <xf numFmtId="0" fontId="9" fillId="0" borderId="0"/>
    <xf numFmtId="0" fontId="8" fillId="0" borderId="0"/>
    <xf numFmtId="0" fontId="13" fillId="0" borderId="0"/>
    <xf numFmtId="0" fontId="11" fillId="0" borderId="0"/>
    <xf numFmtId="0" fontId="55" fillId="0" borderId="0"/>
    <xf numFmtId="0" fontId="88" fillId="0" borderId="0"/>
    <xf numFmtId="0" fontId="11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24"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38" fillId="0" borderId="9" applyNumberFormat="0" applyFill="0" applyAlignment="0" applyProtection="0"/>
    <xf numFmtId="0" fontId="39" fillId="3" borderId="0" applyNumberFormat="0" applyBorder="0" applyAlignment="0" applyProtection="0"/>
    <xf numFmtId="0" fontId="40" fillId="23" borderId="0" applyNumberFormat="0" applyBorder="0" applyAlignment="0" applyProtection="0"/>
    <xf numFmtId="0" fontId="41" fillId="22" borderId="1" applyNumberFormat="0" applyAlignment="0" applyProtection="0"/>
    <xf numFmtId="0" fontId="8" fillId="0" borderId="0"/>
    <xf numFmtId="9" fontId="121" fillId="0" borderId="0" applyFont="0" applyFill="0" applyBorder="0" applyAlignment="0" applyProtection="0"/>
    <xf numFmtId="0" fontId="8" fillId="0" borderId="0"/>
    <xf numFmtId="0" fontId="7" fillId="0" borderId="0"/>
    <xf numFmtId="0" fontId="13" fillId="0" borderId="0"/>
    <xf numFmtId="0" fontId="7" fillId="0" borderId="0"/>
    <xf numFmtId="43" fontId="121" fillId="0" borderId="0" applyFont="0" applyFill="0" applyBorder="0" applyAlignment="0" applyProtection="0"/>
    <xf numFmtId="0" fontId="6" fillId="0" borderId="0"/>
    <xf numFmtId="0" fontId="5" fillId="0" borderId="0"/>
    <xf numFmtId="0" fontId="5" fillId="0" borderId="0"/>
    <xf numFmtId="44" fontId="13" fillId="0" borderId="0" applyFont="0" applyFill="0" applyBorder="0" applyAlignment="0" applyProtection="0"/>
    <xf numFmtId="0" fontId="4" fillId="0" borderId="0"/>
    <xf numFmtId="0" fontId="4" fillId="0" borderId="0"/>
    <xf numFmtId="0" fontId="13" fillId="0" borderId="0"/>
    <xf numFmtId="0" fontId="13" fillId="0" borderId="0"/>
    <xf numFmtId="0" fontId="11" fillId="0" borderId="0"/>
    <xf numFmtId="0" fontId="13" fillId="0" borderId="0"/>
    <xf numFmtId="0" fontId="13" fillId="0" borderId="0"/>
    <xf numFmtId="0" fontId="3" fillId="0" borderId="0"/>
    <xf numFmtId="0" fontId="3" fillId="0" borderId="0"/>
    <xf numFmtId="43" fontId="3" fillId="0" borderId="0" applyFont="0" applyFill="0" applyBorder="0" applyAlignment="0" applyProtection="0"/>
    <xf numFmtId="0" fontId="2" fillId="0" borderId="0"/>
    <xf numFmtId="0" fontId="2" fillId="0" borderId="0"/>
    <xf numFmtId="0" fontId="1" fillId="0" borderId="0"/>
    <xf numFmtId="43" fontId="1" fillId="0" borderId="0" applyFont="0" applyFill="0" applyBorder="0" applyAlignment="0" applyProtection="0"/>
  </cellStyleXfs>
  <cellXfs count="2625">
    <xf numFmtId="0" fontId="0" fillId="0" borderId="0" xfId="0"/>
    <xf numFmtId="0" fontId="117" fillId="0" borderId="0" xfId="46"/>
    <xf numFmtId="0" fontId="10" fillId="0" borderId="0" xfId="46" applyFont="1"/>
    <xf numFmtId="0" fontId="14" fillId="0" borderId="0" xfId="0" applyFont="1" applyAlignment="1">
      <alignment horizontal="center"/>
    </xf>
    <xf numFmtId="0" fontId="18" fillId="0" borderId="0" xfId="0" applyFont="1"/>
    <xf numFmtId="0" fontId="18" fillId="0" borderId="0" xfId="46" applyFont="1"/>
    <xf numFmtId="0" fontId="20" fillId="0" borderId="0" xfId="46" applyFont="1"/>
    <xf numFmtId="0" fontId="23" fillId="0" borderId="0" xfId="0" applyFont="1"/>
    <xf numFmtId="0" fontId="14" fillId="0" borderId="10" xfId="46" applyFont="1" applyFill="1" applyBorder="1" applyAlignment="1">
      <alignment horizontal="center" wrapText="1"/>
    </xf>
    <xf numFmtId="0" fontId="18" fillId="0" borderId="0" xfId="46" applyFont="1" applyAlignment="1">
      <alignment horizontal="center"/>
    </xf>
    <xf numFmtId="0" fontId="19" fillId="0" borderId="10" xfId="46" applyFont="1" applyFill="1" applyBorder="1"/>
    <xf numFmtId="3" fontId="19" fillId="0" borderId="10" xfId="46" applyNumberFormat="1" applyFont="1" applyFill="1" applyBorder="1"/>
    <xf numFmtId="0" fontId="19" fillId="0" borderId="13" xfId="51" applyFont="1" applyBorder="1" applyAlignment="1">
      <alignment horizontal="justify" vertical="center" wrapText="1"/>
    </xf>
    <xf numFmtId="0" fontId="53" fillId="0" borderId="0" xfId="47" applyFont="1"/>
    <xf numFmtId="0" fontId="13" fillId="0" borderId="0" xfId="47"/>
    <xf numFmtId="0" fontId="12" fillId="0" borderId="0" xfId="47" applyFont="1"/>
    <xf numFmtId="0" fontId="18" fillId="0" borderId="10"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20" fillId="0" borderId="0" xfId="0" applyFont="1"/>
    <xf numFmtId="0" fontId="21"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9" fillId="0" borderId="10" xfId="0" applyFont="1" applyFill="1" applyBorder="1" applyAlignment="1">
      <alignment horizontal="left" vertical="center"/>
    </xf>
    <xf numFmtId="0" fontId="20" fillId="0" borderId="10" xfId="0" applyFont="1" applyFill="1" applyBorder="1" applyAlignment="1">
      <alignment horizontal="left" vertical="center" wrapText="1"/>
    </xf>
    <xf numFmtId="0" fontId="66" fillId="0" borderId="0" xfId="46" applyFont="1"/>
    <xf numFmtId="0" fontId="52" fillId="0" borderId="0" xfId="46" applyFont="1"/>
    <xf numFmtId="3" fontId="52" fillId="0" borderId="0" xfId="46" applyNumberFormat="1" applyFont="1"/>
    <xf numFmtId="3" fontId="18" fillId="0" borderId="0" xfId="46" applyNumberFormat="1" applyFont="1"/>
    <xf numFmtId="0" fontId="56" fillId="0" borderId="0" xfId="51" applyFont="1"/>
    <xf numFmtId="0" fontId="18" fillId="0" borderId="0" xfId="0" applyFont="1" applyAlignment="1">
      <alignment horizontal="center"/>
    </xf>
    <xf numFmtId="0" fontId="51" fillId="0" borderId="0" xfId="47" applyFont="1" applyFill="1"/>
    <xf numFmtId="0" fontId="14" fillId="0" borderId="18" xfId="47" applyFont="1" applyFill="1" applyBorder="1" applyAlignment="1">
      <alignment horizontal="center" vertical="center" wrapText="1"/>
    </xf>
    <xf numFmtId="165" fontId="14" fillId="0" borderId="0" xfId="64" applyNumberFormat="1" applyFont="1" applyFill="1" applyBorder="1" applyAlignment="1">
      <alignment horizontal="left" vertical="center"/>
    </xf>
    <xf numFmtId="165" fontId="21" fillId="0" borderId="0" xfId="64" applyNumberFormat="1" applyFont="1" applyFill="1" applyBorder="1" applyAlignment="1">
      <alignment horizontal="left" vertical="center"/>
    </xf>
    <xf numFmtId="165" fontId="52" fillId="0" borderId="0" xfId="64" applyNumberFormat="1" applyFont="1" applyFill="1" applyBorder="1" applyAlignment="1">
      <alignment horizontal="right" vertical="center"/>
    </xf>
    <xf numFmtId="0" fontId="19" fillId="0" borderId="0" xfId="47" applyFont="1" applyFill="1"/>
    <xf numFmtId="165" fontId="19" fillId="0" borderId="0" xfId="64" applyNumberFormat="1" applyFont="1" applyFill="1" applyBorder="1" applyAlignment="1">
      <alignment horizontal="left" vertical="center" wrapText="1"/>
    </xf>
    <xf numFmtId="165" fontId="20" fillId="0" borderId="0" xfId="64" applyNumberFormat="1" applyFont="1" applyFill="1" applyBorder="1" applyAlignment="1">
      <alignment horizontal="left" vertical="center" wrapText="1"/>
    </xf>
    <xf numFmtId="165" fontId="14" fillId="0" borderId="0" xfId="64" applyNumberFormat="1" applyFont="1" applyFill="1" applyBorder="1" applyAlignment="1">
      <alignment horizontal="left" vertical="center" wrapText="1"/>
    </xf>
    <xf numFmtId="165" fontId="21" fillId="0" borderId="0" xfId="64" applyNumberFormat="1" applyFont="1" applyFill="1" applyBorder="1" applyAlignment="1">
      <alignment horizontal="left" vertical="center" wrapText="1"/>
    </xf>
    <xf numFmtId="165" fontId="66" fillId="0" borderId="0" xfId="64" applyNumberFormat="1" applyFont="1" applyFill="1" applyBorder="1" applyAlignment="1">
      <alignment horizontal="right" vertical="center" wrapText="1"/>
    </xf>
    <xf numFmtId="0" fontId="14" fillId="0" borderId="0" xfId="47" applyFont="1" applyFill="1"/>
    <xf numFmtId="0" fontId="19" fillId="0" borderId="0" xfId="47" applyFont="1" applyFill="1" applyBorder="1" applyAlignment="1">
      <alignment wrapText="1"/>
    </xf>
    <xf numFmtId="0" fontId="19" fillId="0" borderId="0" xfId="47" applyFont="1" applyFill="1" applyBorder="1"/>
    <xf numFmtId="0" fontId="19" fillId="0" borderId="0" xfId="47" applyFont="1" applyFill="1" applyBorder="1" applyAlignment="1">
      <alignment horizontal="center" vertical="center"/>
    </xf>
    <xf numFmtId="0" fontId="19" fillId="0" borderId="0" xfId="47" applyFont="1" applyFill="1" applyBorder="1" applyAlignment="1">
      <alignment horizontal="left" wrapText="1"/>
    </xf>
    <xf numFmtId="0" fontId="19" fillId="0" borderId="0" xfId="47" applyFont="1" applyFill="1" applyAlignment="1">
      <alignment horizontal="center" vertical="center"/>
    </xf>
    <xf numFmtId="0" fontId="14" fillId="0" borderId="17" xfId="47" applyFont="1" applyFill="1" applyBorder="1" applyAlignment="1">
      <alignment horizontal="center" vertical="center" wrapText="1"/>
    </xf>
    <xf numFmtId="165" fontId="52" fillId="0" borderId="0" xfId="64" applyNumberFormat="1" applyFont="1" applyFill="1" applyBorder="1" applyAlignment="1">
      <alignment horizontal="right" vertical="center" wrapText="1"/>
    </xf>
    <xf numFmtId="0" fontId="18" fillId="0" borderId="0" xfId="0" applyFont="1" applyBorder="1"/>
    <xf numFmtId="0" fontId="18" fillId="0" borderId="0" xfId="0" applyFont="1" applyFill="1"/>
    <xf numFmtId="49" fontId="60" fillId="0" borderId="0" xfId="0" applyNumberFormat="1" applyFont="1" applyAlignment="1">
      <alignment horizontal="center"/>
    </xf>
    <xf numFmtId="0" fontId="60" fillId="0" borderId="0" xfId="0" applyFont="1"/>
    <xf numFmtId="0" fontId="60" fillId="0" borderId="0" xfId="0" applyFont="1" applyAlignment="1">
      <alignment horizontal="center"/>
    </xf>
    <xf numFmtId="0" fontId="17" fillId="0" borderId="0" xfId="0" applyFont="1"/>
    <xf numFmtId="0" fontId="60" fillId="0" borderId="0" xfId="0" applyFont="1" applyAlignment="1">
      <alignment horizontal="center" vertical="center" wrapText="1"/>
    </xf>
    <xf numFmtId="0" fontId="71" fillId="0" borderId="0" xfId="0" applyFont="1"/>
    <xf numFmtId="0" fontId="65" fillId="0" borderId="0" xfId="0" applyFont="1"/>
    <xf numFmtId="3" fontId="60" fillId="0" borderId="0" xfId="0" applyNumberFormat="1" applyFont="1"/>
    <xf numFmtId="0" fontId="56" fillId="0" borderId="0" xfId="0" applyFont="1"/>
    <xf numFmtId="0" fontId="19" fillId="0" borderId="0" xfId="68" applyFont="1" applyAlignment="1">
      <alignment horizontal="center" vertical="center"/>
    </xf>
    <xf numFmtId="0" fontId="14" fillId="0" borderId="0" xfId="68" applyFont="1" applyAlignment="1">
      <alignment horizontal="center" vertical="center"/>
    </xf>
    <xf numFmtId="0" fontId="20" fillId="0" borderId="23" xfId="68" applyFont="1" applyBorder="1" applyAlignment="1">
      <alignment vertical="center" wrapText="1"/>
    </xf>
    <xf numFmtId="168" fontId="21" fillId="0" borderId="19" xfId="68" applyNumberFormat="1" applyFont="1" applyBorder="1" applyAlignment="1">
      <alignment horizontal="center" vertical="center"/>
    </xf>
    <xf numFmtId="168" fontId="21" fillId="0" borderId="19" xfId="68" applyNumberFormat="1" applyFont="1" applyBorder="1" applyAlignment="1">
      <alignment horizontal="center" vertical="center" wrapText="1"/>
    </xf>
    <xf numFmtId="0" fontId="18" fillId="0" borderId="0" xfId="46" applyFont="1" applyBorder="1" applyAlignment="1">
      <alignment horizontal="center" wrapText="1"/>
    </xf>
    <xf numFmtId="3" fontId="19" fillId="0" borderId="10" xfId="46" applyNumberFormat="1" applyFont="1" applyFill="1" applyBorder="1" applyAlignment="1">
      <alignment horizontal="right"/>
    </xf>
    <xf numFmtId="0" fontId="12" fillId="0" borderId="0" xfId="47" applyFont="1" applyAlignment="1">
      <alignment horizontal="center"/>
    </xf>
    <xf numFmtId="0" fontId="13" fillId="0" borderId="0" xfId="59"/>
    <xf numFmtId="0" fontId="13" fillId="0" borderId="0" xfId="59" applyBorder="1"/>
    <xf numFmtId="0" fontId="48" fillId="0" borderId="0" xfId="59" applyFont="1"/>
    <xf numFmtId="0" fontId="48" fillId="0" borderId="0" xfId="59" applyFont="1" applyAlignment="1">
      <alignment wrapText="1"/>
    </xf>
    <xf numFmtId="0" fontId="53" fillId="0" borderId="0" xfId="59" applyFont="1" applyBorder="1"/>
    <xf numFmtId="0" fontId="12" fillId="0" borderId="0" xfId="59" applyFont="1" applyBorder="1"/>
    <xf numFmtId="1" fontId="53" fillId="0" borderId="0" xfId="59" applyNumberFormat="1" applyFont="1" applyBorder="1"/>
    <xf numFmtId="0" fontId="13" fillId="0" borderId="0" xfId="58"/>
    <xf numFmtId="0" fontId="74" fillId="0" borderId="0" xfId="58" applyFont="1"/>
    <xf numFmtId="0" fontId="45" fillId="0" borderId="0" xfId="58" applyFont="1"/>
    <xf numFmtId="0" fontId="44" fillId="0" borderId="0" xfId="58" applyFont="1"/>
    <xf numFmtId="0" fontId="75" fillId="0" borderId="0" xfId="58" applyFont="1"/>
    <xf numFmtId="0" fontId="42" fillId="0" borderId="0" xfId="58" applyFont="1"/>
    <xf numFmtId="0" fontId="76" fillId="0" borderId="0" xfId="58" applyFont="1"/>
    <xf numFmtId="0" fontId="13" fillId="0" borderId="0" xfId="58" applyBorder="1"/>
    <xf numFmtId="3" fontId="13" fillId="0" borderId="0" xfId="58" applyNumberFormat="1"/>
    <xf numFmtId="3" fontId="76" fillId="0" borderId="0" xfId="58" applyNumberFormat="1" applyFont="1"/>
    <xf numFmtId="0" fontId="13" fillId="0" borderId="25" xfId="58" applyBorder="1"/>
    <xf numFmtId="0" fontId="77" fillId="0" borderId="0" xfId="58" applyFont="1" applyBorder="1" applyAlignment="1">
      <alignment vertical="center"/>
    </xf>
    <xf numFmtId="0" fontId="73" fillId="0" borderId="0" xfId="68" applyFont="1" applyBorder="1" applyAlignment="1">
      <alignment horizontal="center" wrapText="1"/>
    </xf>
    <xf numFmtId="0" fontId="56" fillId="0" borderId="0" xfId="47" applyFont="1"/>
    <xf numFmtId="0" fontId="22" fillId="0" borderId="19" xfId="47" applyFont="1" applyFill="1" applyBorder="1" applyAlignment="1">
      <alignment horizontal="center" vertical="center" wrapText="1"/>
    </xf>
    <xf numFmtId="0" fontId="13" fillId="0" borderId="0" xfId="47" applyFont="1" applyAlignment="1">
      <alignment wrapText="1"/>
    </xf>
    <xf numFmtId="3" fontId="18" fillId="0" borderId="0" xfId="0" applyNumberFormat="1" applyFont="1" applyBorder="1"/>
    <xf numFmtId="3" fontId="47" fillId="0" borderId="0" xfId="59" applyNumberFormat="1" applyFont="1" applyFill="1" applyBorder="1"/>
    <xf numFmtId="3" fontId="46" fillId="0" borderId="0" xfId="59" applyNumberFormat="1" applyFont="1" applyFill="1" applyBorder="1"/>
    <xf numFmtId="0" fontId="43" fillId="0" borderId="0" xfId="59" applyNumberFormat="1" applyFont="1" applyBorder="1" applyAlignment="1">
      <alignment horizontal="center" vertical="center"/>
    </xf>
    <xf numFmtId="0" fontId="79" fillId="0" borderId="0" xfId="46" applyFont="1"/>
    <xf numFmtId="0" fontId="14" fillId="0" borderId="10" xfId="46" applyFont="1" applyFill="1" applyBorder="1"/>
    <xf numFmtId="3" fontId="14" fillId="0" borderId="10" xfId="46" applyNumberFormat="1" applyFont="1" applyFill="1" applyBorder="1"/>
    <xf numFmtId="0" fontId="16" fillId="0" borderId="0" xfId="0" applyFont="1"/>
    <xf numFmtId="3" fontId="20" fillId="0" borderId="0" xfId="46" applyNumberFormat="1" applyFont="1"/>
    <xf numFmtId="0" fontId="56" fillId="25" borderId="0" xfId="0" applyFont="1" applyFill="1"/>
    <xf numFmtId="0" fontId="117" fillId="0" borderId="0" xfId="46" applyAlignment="1">
      <alignment wrapText="1"/>
    </xf>
    <xf numFmtId="0" fontId="50" fillId="0" borderId="0" xfId="0" applyFont="1" applyAlignment="1">
      <alignment horizontal="center" vertical="center"/>
    </xf>
    <xf numFmtId="167" fontId="82" fillId="0" borderId="27" xfId="0" applyNumberFormat="1" applyFont="1" applyFill="1" applyBorder="1" applyAlignment="1">
      <alignment vertical="center"/>
    </xf>
    <xf numFmtId="0" fontId="59" fillId="0" borderId="10" xfId="0" applyFont="1" applyFill="1" applyBorder="1" applyAlignment="1">
      <alignment horizontal="left" vertical="center" wrapText="1"/>
    </xf>
    <xf numFmtId="0" fontId="59" fillId="0" borderId="23" xfId="0" applyFont="1" applyFill="1" applyBorder="1" applyAlignment="1">
      <alignment vertical="center"/>
    </xf>
    <xf numFmtId="0" fontId="82" fillId="0" borderId="27" xfId="0" applyFont="1" applyFill="1" applyBorder="1" applyAlignment="1">
      <alignment horizontal="left" vertical="center"/>
    </xf>
    <xf numFmtId="0" fontId="83" fillId="24" borderId="27" xfId="0" applyFont="1" applyFill="1" applyBorder="1" applyAlignment="1">
      <alignment horizontal="left" vertical="center"/>
    </xf>
    <xf numFmtId="0" fontId="82" fillId="0" borderId="27" xfId="0" applyFont="1" applyFill="1" applyBorder="1" applyAlignment="1">
      <alignment horizontal="left" vertical="center" wrapText="1"/>
    </xf>
    <xf numFmtId="0" fontId="59" fillId="0" borderId="10" xfId="0" applyFont="1" applyFill="1" applyBorder="1" applyAlignment="1">
      <alignment horizontal="left" vertical="center"/>
    </xf>
    <xf numFmtId="0" fontId="83" fillId="0" borderId="27" xfId="0" applyFont="1" applyFill="1" applyBorder="1" applyAlignment="1">
      <alignment horizontal="left" vertical="center"/>
    </xf>
    <xf numFmtId="0" fontId="50" fillId="0" borderId="0" xfId="0" applyFont="1" applyAlignment="1">
      <alignment horizontal="center" wrapText="1"/>
    </xf>
    <xf numFmtId="0" fontId="83" fillId="26" borderId="27" xfId="0" applyFont="1" applyFill="1" applyBorder="1" applyAlignment="1">
      <alignment horizontal="left" vertical="center"/>
    </xf>
    <xf numFmtId="0" fontId="82" fillId="28" borderId="27" xfId="0" applyFont="1" applyFill="1" applyBorder="1" applyAlignment="1">
      <alignment horizontal="left" vertical="center"/>
    </xf>
    <xf numFmtId="0" fontId="84" fillId="0" borderId="27" xfId="0" applyFont="1" applyFill="1" applyBorder="1" applyAlignment="1">
      <alignment horizontal="left" vertical="center" wrapText="1"/>
    </xf>
    <xf numFmtId="0" fontId="58" fillId="26" borderId="10"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83" fillId="24" borderId="27" xfId="0" applyFont="1" applyFill="1" applyBorder="1" applyAlignment="1">
      <alignment horizontal="left" vertical="center" wrapText="1"/>
    </xf>
    <xf numFmtId="167" fontId="82" fillId="26" borderId="27" xfId="0" applyNumberFormat="1" applyFont="1" applyFill="1" applyBorder="1" applyAlignment="1">
      <alignment vertical="center"/>
    </xf>
    <xf numFmtId="0" fontId="82" fillId="27" borderId="34" xfId="0" applyFont="1" applyFill="1" applyBorder="1"/>
    <xf numFmtId="0" fontId="59" fillId="0" borderId="0" xfId="47" applyFont="1" applyFill="1" applyBorder="1" applyAlignment="1">
      <alignment horizontal="center" vertical="center"/>
    </xf>
    <xf numFmtId="0" fontId="59" fillId="0" borderId="0" xfId="47" applyFont="1" applyFill="1" applyBorder="1" applyAlignment="1">
      <alignment wrapText="1"/>
    </xf>
    <xf numFmtId="0" fontId="23" fillId="0" borderId="0" xfId="0" applyFont="1" applyAlignment="1">
      <alignment horizontal="center"/>
    </xf>
    <xf numFmtId="0" fontId="14" fillId="0" borderId="10" xfId="0" applyFont="1" applyFill="1" applyBorder="1" applyAlignment="1">
      <alignment horizontal="left" vertical="center"/>
    </xf>
    <xf numFmtId="0" fontId="21" fillId="0" borderId="23"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19" fillId="0" borderId="24" xfId="0" applyFont="1" applyFill="1" applyBorder="1" applyAlignment="1">
      <alignment horizontal="left" vertical="center"/>
    </xf>
    <xf numFmtId="0" fontId="19" fillId="0" borderId="24" xfId="0" applyFont="1" applyFill="1" applyBorder="1" applyAlignment="1">
      <alignment horizontal="left" vertical="center" wrapText="1"/>
    </xf>
    <xf numFmtId="0" fontId="50" fillId="0" borderId="0" xfId="0" applyFont="1" applyAlignment="1"/>
    <xf numFmtId="0" fontId="72" fillId="0" borderId="0" xfId="0" applyFont="1" applyAlignment="1"/>
    <xf numFmtId="0" fontId="65" fillId="0" borderId="18" xfId="0" applyFont="1" applyBorder="1" applyAlignment="1">
      <alignment horizontal="center" vertical="center" wrapText="1"/>
    </xf>
    <xf numFmtId="0" fontId="59" fillId="0" borderId="23" xfId="0" applyFont="1" applyFill="1" applyBorder="1" applyAlignment="1">
      <alignment horizontal="left" vertical="center"/>
    </xf>
    <xf numFmtId="0" fontId="59" fillId="0" borderId="24" xfId="0" applyFont="1" applyFill="1" applyBorder="1" applyAlignment="1">
      <alignment vertical="center"/>
    </xf>
    <xf numFmtId="0" fontId="58" fillId="24" borderId="19" xfId="0" applyFont="1" applyFill="1" applyBorder="1" applyAlignment="1">
      <alignment horizontal="left" vertical="center" wrapText="1"/>
    </xf>
    <xf numFmtId="0" fontId="58" fillId="29" borderId="19" xfId="0" applyFont="1" applyFill="1" applyBorder="1" applyAlignment="1">
      <alignment horizontal="left" vertical="center" wrapText="1"/>
    </xf>
    <xf numFmtId="0" fontId="22" fillId="0" borderId="0" xfId="68" applyFont="1" applyAlignment="1">
      <alignment horizontal="center" vertical="center"/>
    </xf>
    <xf numFmtId="0" fontId="86" fillId="0" borderId="0" xfId="0" applyFont="1" applyAlignment="1">
      <alignment vertical="center"/>
    </xf>
    <xf numFmtId="0" fontId="21" fillId="29" borderId="19" xfId="68" applyFont="1" applyFill="1" applyBorder="1" applyAlignment="1">
      <alignment vertical="center"/>
    </xf>
    <xf numFmtId="0" fontId="21" fillId="24" borderId="19" xfId="68" applyFont="1" applyFill="1" applyBorder="1" applyAlignment="1">
      <alignment vertical="center"/>
    </xf>
    <xf numFmtId="3" fontId="89" fillId="0" borderId="24" xfId="27" applyNumberFormat="1" applyFont="1" applyBorder="1" applyAlignment="1">
      <alignment horizontal="right"/>
    </xf>
    <xf numFmtId="0" fontId="54" fillId="0" borderId="0" xfId="51" applyFont="1" applyBorder="1" applyAlignment="1">
      <alignment wrapText="1"/>
    </xf>
    <xf numFmtId="3" fontId="89" fillId="0" borderId="0" xfId="27" applyNumberFormat="1" applyFont="1" applyBorder="1" applyAlignment="1">
      <alignment horizontal="right"/>
    </xf>
    <xf numFmtId="164" fontId="89" fillId="0" borderId="24" xfId="27" applyNumberFormat="1" applyFont="1" applyBorder="1" applyAlignment="1">
      <alignment horizontal="right"/>
    </xf>
    <xf numFmtId="3" fontId="89" fillId="0" borderId="24" xfId="27" applyNumberFormat="1" applyFont="1" applyFill="1" applyBorder="1" applyAlignment="1">
      <alignment horizontal="right"/>
    </xf>
    <xf numFmtId="0" fontId="14" fillId="29" borderId="10" xfId="46" applyFont="1" applyFill="1" applyBorder="1"/>
    <xf numFmtId="3" fontId="14" fillId="29" borderId="10" xfId="46" applyNumberFormat="1" applyFont="1" applyFill="1" applyBorder="1"/>
    <xf numFmtId="0" fontId="49" fillId="24" borderId="23" xfId="46" applyFont="1" applyFill="1" applyBorder="1"/>
    <xf numFmtId="0" fontId="19" fillId="24" borderId="23" xfId="46" applyFont="1" applyFill="1" applyBorder="1"/>
    <xf numFmtId="3" fontId="49" fillId="24" borderId="23" xfId="46" applyNumberFormat="1" applyFont="1" applyFill="1" applyBorder="1"/>
    <xf numFmtId="0" fontId="91" fillId="0" borderId="10" xfId="60" applyFont="1" applyFill="1" applyBorder="1" applyAlignment="1">
      <alignment horizontal="left"/>
    </xf>
    <xf numFmtId="1" fontId="19" fillId="0" borderId="10" xfId="46" applyNumberFormat="1" applyFont="1" applyFill="1" applyBorder="1"/>
    <xf numFmtId="0" fontId="73" fillId="0" borderId="0" xfId="69" applyFont="1" applyBorder="1" applyAlignment="1">
      <alignment wrapText="1"/>
    </xf>
    <xf numFmtId="0" fontId="50" fillId="0" borderId="0" xfId="69" applyFont="1" applyBorder="1" applyAlignment="1">
      <alignment horizontal="center" wrapText="1"/>
    </xf>
    <xf numFmtId="0" fontId="14" fillId="0" borderId="0" xfId="47" applyFont="1" applyAlignment="1">
      <alignment horizontal="center"/>
    </xf>
    <xf numFmtId="0" fontId="56" fillId="0" borderId="0" xfId="59" applyFont="1"/>
    <xf numFmtId="0" fontId="56" fillId="0" borderId="0" xfId="59" applyFont="1" applyBorder="1"/>
    <xf numFmtId="0" fontId="80" fillId="0" borderId="0" xfId="59" applyFont="1" applyBorder="1"/>
    <xf numFmtId="0" fontId="68" fillId="0" borderId="0" xfId="59" applyFont="1" applyBorder="1"/>
    <xf numFmtId="0" fontId="80" fillId="0" borderId="0" xfId="59" applyFont="1" applyBorder="1" applyAlignment="1">
      <alignment horizontal="right"/>
    </xf>
    <xf numFmtId="0" fontId="68" fillId="0" borderId="0" xfId="59" applyFont="1"/>
    <xf numFmtId="0" fontId="87" fillId="0" borderId="0" xfId="59" applyFont="1" applyBorder="1" applyAlignment="1">
      <alignment horizontal="center"/>
    </xf>
    <xf numFmtId="0" fontId="57" fillId="0" borderId="10" xfId="47" applyFont="1" applyBorder="1" applyAlignment="1">
      <alignment vertical="center"/>
    </xf>
    <xf numFmtId="0" fontId="67" fillId="0" borderId="0" xfId="47" applyFont="1" applyAlignment="1">
      <alignment wrapText="1"/>
    </xf>
    <xf numFmtId="0" fontId="67" fillId="0" borderId="0" xfId="47" applyFont="1"/>
    <xf numFmtId="0" fontId="67" fillId="0" borderId="0" xfId="59" applyFont="1" applyBorder="1"/>
    <xf numFmtId="0" fontId="57" fillId="0" borderId="0" xfId="72" applyFont="1" applyBorder="1" applyAlignment="1">
      <alignment horizontal="center"/>
    </xf>
    <xf numFmtId="0" fontId="57" fillId="0" borderId="0" xfId="59" applyFont="1" applyBorder="1"/>
    <xf numFmtId="0" fontId="57" fillId="0" borderId="0" xfId="59" applyFont="1" applyBorder="1" applyAlignment="1">
      <alignment horizontal="center"/>
    </xf>
    <xf numFmtId="0" fontId="51" fillId="0" borderId="0" xfId="58" applyFont="1"/>
    <xf numFmtId="0" fontId="56" fillId="0" borderId="0" xfId="58" applyFont="1"/>
    <xf numFmtId="0" fontId="68" fillId="0" borderId="0" xfId="58" applyFont="1"/>
    <xf numFmtId="0" fontId="63" fillId="0" borderId="0" xfId="58" applyFont="1" applyBorder="1" applyAlignment="1">
      <alignment horizontal="center" vertical="center"/>
    </xf>
    <xf numFmtId="0" fontId="56" fillId="0" borderId="0" xfId="51" applyFont="1" applyBorder="1" applyAlignment="1">
      <alignment horizontal="center" vertical="center"/>
    </xf>
    <xf numFmtId="0" fontId="68" fillId="0" borderId="0" xfId="58" applyFont="1" applyAlignment="1">
      <alignment wrapText="1"/>
    </xf>
    <xf numFmtId="0" fontId="65" fillId="0" borderId="26" xfId="58" applyFont="1" applyBorder="1" applyAlignment="1">
      <alignment vertical="center"/>
    </xf>
    <xf numFmtId="0" fontId="94" fillId="0" borderId="27" xfId="58" applyFont="1" applyBorder="1" applyAlignment="1">
      <alignment vertical="center" wrapText="1"/>
    </xf>
    <xf numFmtId="0" fontId="95" fillId="0" borderId="0" xfId="58" applyFont="1" applyAlignment="1">
      <alignment wrapText="1"/>
    </xf>
    <xf numFmtId="0" fontId="65" fillId="0" borderId="27" xfId="58" applyFont="1" applyBorder="1" applyAlignment="1">
      <alignment vertical="center"/>
    </xf>
    <xf numFmtId="170" fontId="78" fillId="0" borderId="0" xfId="58" applyNumberFormat="1" applyFont="1" applyAlignment="1">
      <alignment wrapText="1"/>
    </xf>
    <xf numFmtId="0" fontId="78" fillId="0" borderId="0" xfId="58" applyFont="1" applyAlignment="1">
      <alignment wrapText="1"/>
    </xf>
    <xf numFmtId="170" fontId="95" fillId="0" borderId="0" xfId="58" applyNumberFormat="1" applyFont="1" applyAlignment="1">
      <alignment wrapText="1"/>
    </xf>
    <xf numFmtId="0" fontId="78" fillId="0" borderId="0" xfId="58" applyFont="1"/>
    <xf numFmtId="0" fontId="95" fillId="0" borderId="0" xfId="58" applyFont="1"/>
    <xf numFmtId="0" fontId="71" fillId="0" borderId="27" xfId="58" applyFont="1" applyBorder="1" applyAlignment="1">
      <alignment vertical="center"/>
    </xf>
    <xf numFmtId="170" fontId="96" fillId="0" borderId="0" xfId="58" applyNumberFormat="1" applyFont="1" applyAlignment="1">
      <alignment wrapText="1"/>
    </xf>
    <xf numFmtId="0" fontId="96" fillId="0" borderId="0" xfId="58" applyFont="1"/>
    <xf numFmtId="0" fontId="95" fillId="0" borderId="0" xfId="58" applyFont="1" applyBorder="1"/>
    <xf numFmtId="0" fontId="63" fillId="0" borderId="0" xfId="58" applyFont="1" applyBorder="1"/>
    <xf numFmtId="0" fontId="63" fillId="0" borderId="0" xfId="58" applyFont="1"/>
    <xf numFmtId="0" fontId="90" fillId="0" borderId="0" xfId="58" applyFont="1" applyBorder="1"/>
    <xf numFmtId="0" fontId="90" fillId="0" borderId="0" xfId="58" applyFont="1"/>
    <xf numFmtId="0" fontId="94" fillId="0" borderId="31" xfId="58" applyFont="1" applyBorder="1" applyAlignment="1">
      <alignment vertical="center" wrapText="1"/>
    </xf>
    <xf numFmtId="0" fontId="65" fillId="0" borderId="18" xfId="58" applyFont="1" applyBorder="1" applyAlignment="1">
      <alignment vertical="center"/>
    </xf>
    <xf numFmtId="0" fontId="56" fillId="0" borderId="0" xfId="58" applyFont="1" applyBorder="1"/>
    <xf numFmtId="0" fontId="71" fillId="0" borderId="47" xfId="58" applyFont="1" applyBorder="1" applyAlignment="1">
      <alignment vertical="center" wrapText="1"/>
    </xf>
    <xf numFmtId="0" fontId="22" fillId="0" borderId="0" xfId="47" applyFont="1" applyAlignment="1"/>
    <xf numFmtId="0" fontId="21" fillId="0" borderId="0" xfId="47" applyFont="1" applyAlignment="1">
      <alignment horizontal="center" wrapText="1"/>
    </xf>
    <xf numFmtId="165" fontId="21" fillId="0" borderId="43" xfId="64" applyNumberFormat="1" applyFont="1" applyFill="1" applyBorder="1" applyAlignment="1">
      <alignment horizontal="center" vertical="center" wrapText="1"/>
    </xf>
    <xf numFmtId="0" fontId="19" fillId="0" borderId="46" xfId="47" applyFont="1" applyFill="1" applyBorder="1" applyAlignment="1">
      <alignment vertical="center"/>
    </xf>
    <xf numFmtId="165" fontId="18" fillId="0" borderId="43" xfId="64" applyNumberFormat="1" applyFont="1" applyFill="1" applyBorder="1" applyAlignment="1">
      <alignment horizontal="left" vertical="center" wrapText="1"/>
    </xf>
    <xf numFmtId="0" fontId="14" fillId="0" borderId="18" xfId="47" applyFont="1" applyFill="1" applyBorder="1" applyAlignment="1">
      <alignment vertical="center"/>
    </xf>
    <xf numFmtId="165" fontId="21" fillId="0" borderId="19" xfId="64" applyNumberFormat="1" applyFont="1" applyFill="1" applyBorder="1" applyAlignment="1">
      <alignment horizontal="left" vertical="center"/>
    </xf>
    <xf numFmtId="0" fontId="117" fillId="0" borderId="0" xfId="55"/>
    <xf numFmtId="0" fontId="98" fillId="0" borderId="0" xfId="55" applyFont="1"/>
    <xf numFmtId="0" fontId="23" fillId="0" borderId="0" xfId="55" applyFont="1"/>
    <xf numFmtId="0" fontId="22" fillId="0" borderId="18" xfId="47" applyFont="1" applyBorder="1" applyAlignment="1">
      <alignment horizontal="center" vertical="center" wrapText="1"/>
    </xf>
    <xf numFmtId="0" fontId="22" fillId="0" borderId="51" xfId="47" applyFont="1" applyFill="1" applyBorder="1" applyAlignment="1">
      <alignment horizontal="center" vertical="center" wrapText="1"/>
    </xf>
    <xf numFmtId="0" fontId="22" fillId="0" borderId="19" xfId="47" applyFont="1" applyBorder="1" applyAlignment="1">
      <alignment horizontal="center" vertical="center" wrapText="1"/>
    </xf>
    <xf numFmtId="165" fontId="51" fillId="0" borderId="26" xfId="64" applyNumberFormat="1" applyFont="1" applyFill="1" applyBorder="1" applyAlignment="1">
      <alignment vertical="center" wrapText="1"/>
    </xf>
    <xf numFmtId="0" fontId="23" fillId="0" borderId="10" xfId="55" applyFont="1" applyFill="1" applyBorder="1" applyAlignment="1">
      <alignment horizontal="left" vertical="center"/>
    </xf>
    <xf numFmtId="3" fontId="23" fillId="0" borderId="10" xfId="55" applyNumberFormat="1" applyFont="1" applyBorder="1"/>
    <xf numFmtId="3" fontId="23" fillId="0" borderId="10" xfId="55" applyNumberFormat="1" applyFont="1" applyFill="1" applyBorder="1"/>
    <xf numFmtId="3" fontId="23" fillId="0" borderId="16" xfId="55" applyNumberFormat="1" applyFont="1" applyBorder="1"/>
    <xf numFmtId="167" fontId="50" fillId="0" borderId="10" xfId="55" applyNumberFormat="1" applyFont="1" applyFill="1" applyBorder="1" applyAlignment="1">
      <alignment vertical="center"/>
    </xf>
    <xf numFmtId="3" fontId="50" fillId="0" borderId="10" xfId="55" applyNumberFormat="1" applyFont="1" applyBorder="1"/>
    <xf numFmtId="0" fontId="23" fillId="0" borderId="27" xfId="55" applyFont="1" applyFill="1" applyBorder="1" applyAlignment="1">
      <alignment horizontal="left" vertical="center" wrapText="1"/>
    </xf>
    <xf numFmtId="0" fontId="50" fillId="0" borderId="27" xfId="55" applyFont="1" applyFill="1" applyBorder="1" applyAlignment="1">
      <alignment horizontal="left" vertical="center" wrapText="1"/>
    </xf>
    <xf numFmtId="0" fontId="50" fillId="0" borderId="10" xfId="55" applyFont="1" applyFill="1" applyBorder="1" applyAlignment="1">
      <alignment horizontal="left" vertical="center"/>
    </xf>
    <xf numFmtId="3" fontId="50" fillId="0" borderId="10" xfId="55" applyNumberFormat="1" applyFont="1" applyFill="1" applyBorder="1"/>
    <xf numFmtId="3" fontId="50" fillId="0" borderId="16" xfId="55" applyNumberFormat="1" applyFont="1" applyBorder="1"/>
    <xf numFmtId="3" fontId="23" fillId="0" borderId="16" xfId="55" applyNumberFormat="1" applyFont="1" applyFill="1" applyBorder="1"/>
    <xf numFmtId="167" fontId="23" fillId="0" borderId="10" xfId="55" applyNumberFormat="1" applyFont="1" applyFill="1" applyBorder="1" applyAlignment="1">
      <alignment vertical="center"/>
    </xf>
    <xf numFmtId="3" fontId="23" fillId="0" borderId="10" xfId="55" applyNumberFormat="1" applyFont="1" applyBorder="1" applyAlignment="1">
      <alignment horizontal="center"/>
    </xf>
    <xf numFmtId="0" fontId="22" fillId="0" borderId="27" xfId="55" applyFont="1" applyFill="1" applyBorder="1" applyAlignment="1">
      <alignment horizontal="left" vertical="center" wrapText="1"/>
    </xf>
    <xf numFmtId="3" fontId="23" fillId="0" borderId="10" xfId="55" applyNumberFormat="1" applyFont="1" applyBorder="1" applyAlignment="1">
      <alignment horizontal="right"/>
    </xf>
    <xf numFmtId="3" fontId="23" fillId="0" borderId="10" xfId="55" applyNumberFormat="1" applyFont="1" applyFill="1" applyBorder="1" applyAlignment="1">
      <alignment horizontal="right"/>
    </xf>
    <xf numFmtId="3" fontId="23" fillId="0" borderId="16" xfId="55" applyNumberFormat="1" applyFont="1" applyBorder="1" applyAlignment="1">
      <alignment horizontal="right"/>
    </xf>
    <xf numFmtId="0" fontId="23" fillId="0" borderId="10" xfId="55" applyFont="1" applyFill="1" applyBorder="1" applyAlignment="1">
      <alignment horizontal="left" vertical="center" wrapText="1"/>
    </xf>
    <xf numFmtId="0" fontId="51" fillId="0" borderId="27" xfId="55" applyFont="1" applyFill="1" applyBorder="1" applyAlignment="1">
      <alignment horizontal="left" vertical="center" wrapText="1"/>
    </xf>
    <xf numFmtId="0" fontId="51" fillId="0" borderId="27" xfId="55" applyFont="1" applyFill="1" applyBorder="1" applyAlignment="1">
      <alignment horizontal="left" vertical="center"/>
    </xf>
    <xf numFmtId="3" fontId="51" fillId="0" borderId="10" xfId="55" applyNumberFormat="1" applyFont="1" applyFill="1" applyBorder="1" applyAlignment="1">
      <alignment horizontal="right" vertical="center"/>
    </xf>
    <xf numFmtId="0" fontId="50" fillId="0" borderId="10" xfId="55" applyFont="1" applyFill="1" applyBorder="1" applyAlignment="1">
      <alignment horizontal="left" vertical="center" wrapText="1"/>
    </xf>
    <xf numFmtId="0" fontId="22" fillId="0" borderId="0" xfId="55" applyFont="1" applyFill="1" applyBorder="1" applyAlignment="1">
      <alignment horizontal="left" vertical="center"/>
    </xf>
    <xf numFmtId="0" fontId="23" fillId="0" borderId="0" xfId="55" applyFont="1" applyBorder="1"/>
    <xf numFmtId="167" fontId="50" fillId="26" borderId="10" xfId="55" applyNumberFormat="1" applyFont="1" applyFill="1" applyBorder="1" applyAlignment="1">
      <alignment vertical="center"/>
    </xf>
    <xf numFmtId="3" fontId="64" fillId="26" borderId="10" xfId="55" applyNumberFormat="1" applyFont="1" applyFill="1" applyBorder="1"/>
    <xf numFmtId="0" fontId="99" fillId="26" borderId="27" xfId="55" applyFont="1" applyFill="1" applyBorder="1"/>
    <xf numFmtId="0" fontId="50" fillId="26" borderId="10" xfId="55" applyFont="1" applyFill="1" applyBorder="1" applyAlignment="1">
      <alignment horizontal="left" vertical="center"/>
    </xf>
    <xf numFmtId="0" fontId="22" fillId="24" borderId="27" xfId="55" applyFont="1" applyFill="1" applyBorder="1" applyAlignment="1">
      <alignment horizontal="left" vertical="center" wrapText="1"/>
    </xf>
    <xf numFmtId="0" fontId="50" fillId="24" borderId="10" xfId="55" applyFont="1" applyFill="1" applyBorder="1" applyAlignment="1">
      <alignment horizontal="left" vertical="center"/>
    </xf>
    <xf numFmtId="3" fontId="50" fillId="24" borderId="10" xfId="55" applyNumberFormat="1" applyFont="1" applyFill="1" applyBorder="1"/>
    <xf numFmtId="0" fontId="22" fillId="24" borderId="27" xfId="55" applyFont="1" applyFill="1" applyBorder="1" applyAlignment="1">
      <alignment horizontal="left" vertical="center"/>
    </xf>
    <xf numFmtId="0" fontId="50" fillId="24" borderId="10" xfId="55" applyFont="1" applyFill="1" applyBorder="1" applyAlignment="1">
      <alignment horizontal="left" vertical="center" wrapText="1"/>
    </xf>
    <xf numFmtId="167" fontId="50" fillId="24" borderId="10" xfId="55" applyNumberFormat="1" applyFont="1" applyFill="1" applyBorder="1" applyAlignment="1">
      <alignment vertical="center"/>
    </xf>
    <xf numFmtId="3" fontId="22" fillId="24" borderId="10" xfId="55" applyNumberFormat="1" applyFont="1" applyFill="1" applyBorder="1" applyAlignment="1">
      <alignment horizontal="right" vertical="center"/>
    </xf>
    <xf numFmtId="0" fontId="23" fillId="27" borderId="35" xfId="55" applyFont="1" applyFill="1" applyBorder="1"/>
    <xf numFmtId="3" fontId="100" fillId="27" borderId="35" xfId="55" applyNumberFormat="1" applyFont="1" applyFill="1" applyBorder="1" applyAlignment="1">
      <alignment horizontal="right" vertical="center" wrapText="1"/>
    </xf>
    <xf numFmtId="0" fontId="50" fillId="27" borderId="34" xfId="55" applyFont="1" applyFill="1" applyBorder="1"/>
    <xf numFmtId="3" fontId="64" fillId="27" borderId="35" xfId="55" applyNumberFormat="1" applyFont="1" applyFill="1" applyBorder="1"/>
    <xf numFmtId="0" fontId="22" fillId="0" borderId="27" xfId="55" applyFont="1" applyFill="1" applyBorder="1" applyAlignment="1">
      <alignment horizontal="left" vertical="center"/>
    </xf>
    <xf numFmtId="0" fontId="50" fillId="0" borderId="0" xfId="46" applyFont="1" applyAlignment="1">
      <alignment horizontal="center"/>
    </xf>
    <xf numFmtId="0" fontId="81" fillId="0" borderId="0" xfId="0" applyFont="1" applyAlignment="1"/>
    <xf numFmtId="0" fontId="67" fillId="0" borderId="0" xfId="68" applyFont="1"/>
    <xf numFmtId="0" fontId="93" fillId="0" borderId="0" xfId="68" applyFont="1" applyBorder="1" applyAlignment="1">
      <alignment horizontal="justify" vertical="center" wrapText="1"/>
    </xf>
    <xf numFmtId="0" fontId="23" fillId="0" borderId="0" xfId="46" applyFont="1"/>
    <xf numFmtId="0" fontId="50" fillId="0" borderId="0" xfId="46" applyFont="1"/>
    <xf numFmtId="3" fontId="23" fillId="0" borderId="0" xfId="46" applyNumberFormat="1" applyFont="1"/>
    <xf numFmtId="0" fontId="23" fillId="0" borderId="27" xfId="0" applyFont="1" applyFill="1" applyBorder="1" applyAlignment="1">
      <alignment horizontal="left" vertical="center"/>
    </xf>
    <xf numFmtId="0" fontId="50" fillId="24" borderId="27" xfId="0" applyFont="1" applyFill="1" applyBorder="1" applyAlignment="1">
      <alignment horizontal="left" vertical="center"/>
    </xf>
    <xf numFmtId="0" fontId="23" fillId="0" borderId="27" xfId="0" applyFont="1" applyFill="1" applyBorder="1" applyAlignment="1">
      <alignment horizontal="left" vertical="center" wrapText="1"/>
    </xf>
    <xf numFmtId="0" fontId="50" fillId="0" borderId="27" xfId="0" applyFont="1" applyFill="1" applyBorder="1" applyAlignment="1">
      <alignment horizontal="left" vertical="center" wrapText="1"/>
    </xf>
    <xf numFmtId="0" fontId="18" fillId="0" borderId="0" xfId="0" applyFont="1" applyAlignment="1">
      <alignment horizontal="right"/>
    </xf>
    <xf numFmtId="0" fontId="23" fillId="0" borderId="0" xfId="0" applyFont="1" applyAlignment="1">
      <alignment horizontal="right" vertical="center"/>
    </xf>
    <xf numFmtId="0" fontId="23" fillId="0" borderId="0" xfId="0" applyFont="1" applyAlignment="1">
      <alignment horizontal="right"/>
    </xf>
    <xf numFmtId="0" fontId="23" fillId="0" borderId="0" xfId="0" applyFont="1" applyFill="1" applyBorder="1" applyAlignment="1">
      <alignment horizontal="left" vertical="center"/>
    </xf>
    <xf numFmtId="0" fontId="23" fillId="0" borderId="0" xfId="0" applyFont="1" applyFill="1" applyBorder="1" applyAlignment="1">
      <alignment horizontal="left" vertical="center" wrapText="1"/>
    </xf>
    <xf numFmtId="0" fontId="50" fillId="0" borderId="0" xfId="0" applyFont="1" applyFill="1" applyBorder="1" applyAlignment="1">
      <alignment horizontal="left" vertical="center"/>
    </xf>
    <xf numFmtId="0" fontId="50" fillId="0" borderId="0"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50" fillId="24" borderId="0" xfId="0" applyFont="1" applyFill="1" applyBorder="1" applyAlignment="1">
      <alignment horizontal="left" vertical="center"/>
    </xf>
    <xf numFmtId="0" fontId="22" fillId="24" borderId="0" xfId="0" applyFont="1" applyFill="1" applyBorder="1" applyAlignment="1">
      <alignment horizontal="left" vertical="center" wrapText="1"/>
    </xf>
    <xf numFmtId="0" fontId="50" fillId="28" borderId="0" xfId="0" applyFont="1" applyFill="1" applyBorder="1" applyAlignment="1">
      <alignment horizontal="left" vertical="center"/>
    </xf>
    <xf numFmtId="0" fontId="51" fillId="0" borderId="0" xfId="0" applyFont="1" applyFill="1" applyBorder="1" applyAlignment="1">
      <alignment horizontal="left" vertical="center"/>
    </xf>
    <xf numFmtId="0" fontId="50" fillId="24" borderId="0" xfId="0" applyFont="1" applyFill="1" applyBorder="1" applyAlignment="1">
      <alignment horizontal="left" vertical="center" wrapText="1"/>
    </xf>
    <xf numFmtId="0" fontId="22" fillId="24" borderId="0" xfId="0" applyFont="1" applyFill="1" applyBorder="1" applyAlignment="1">
      <alignment horizontal="left" vertical="center"/>
    </xf>
    <xf numFmtId="0" fontId="23" fillId="27" borderId="0" xfId="0" applyFont="1" applyFill="1" applyBorder="1"/>
    <xf numFmtId="0" fontId="50" fillId="27" borderId="0" xfId="0" applyFont="1" applyFill="1" applyBorder="1"/>
    <xf numFmtId="0" fontId="23" fillId="0" borderId="0" xfId="0" applyFont="1" applyBorder="1"/>
    <xf numFmtId="165" fontId="23" fillId="0" borderId="10" xfId="64" applyNumberFormat="1" applyFont="1" applyFill="1" applyBorder="1" applyAlignment="1">
      <alignment horizontal="left" vertical="center" wrapText="1"/>
    </xf>
    <xf numFmtId="0" fontId="49" fillId="29" borderId="19" xfId="0" applyFont="1" applyFill="1" applyBorder="1" applyAlignment="1">
      <alignment horizontal="left" vertical="center" wrapText="1"/>
    </xf>
    <xf numFmtId="0" fontId="49" fillId="24" borderId="19" xfId="0" applyFont="1" applyFill="1" applyBorder="1" applyAlignment="1">
      <alignment horizontal="left" vertical="center" wrapText="1"/>
    </xf>
    <xf numFmtId="0" fontId="19" fillId="0" borderId="0" xfId="0" applyFont="1"/>
    <xf numFmtId="0" fontId="22" fillId="0" borderId="0" xfId="0" applyFont="1" applyFill="1" applyBorder="1" applyAlignment="1">
      <alignment horizontal="left" vertical="center"/>
    </xf>
    <xf numFmtId="0" fontId="103" fillId="30" borderId="0" xfId="68" applyFont="1" applyFill="1" applyAlignment="1">
      <alignment horizontal="justify"/>
    </xf>
    <xf numFmtId="0" fontId="103" fillId="0" borderId="0" xfId="68" applyFont="1" applyAlignment="1">
      <alignment horizontal="justify"/>
    </xf>
    <xf numFmtId="0" fontId="102" fillId="0" borderId="0" xfId="68" applyFont="1" applyBorder="1" applyAlignment="1">
      <alignment horizontal="justify" wrapText="1"/>
    </xf>
    <xf numFmtId="0" fontId="102" fillId="0" borderId="0" xfId="68" applyFont="1" applyBorder="1" applyAlignment="1">
      <alignment horizontal="justify"/>
    </xf>
    <xf numFmtId="0" fontId="103" fillId="0" borderId="0" xfId="57" applyFont="1" applyAlignment="1">
      <alignment horizontal="justify"/>
    </xf>
    <xf numFmtId="0" fontId="102" fillId="0" borderId="0" xfId="68" applyFont="1" applyBorder="1" applyAlignment="1">
      <alignment horizontal="justify" vertical="center" wrapText="1"/>
    </xf>
    <xf numFmtId="0" fontId="102" fillId="0" borderId="0" xfId="57" applyFont="1" applyBorder="1" applyAlignment="1">
      <alignment horizontal="justify" wrapText="1"/>
    </xf>
    <xf numFmtId="4" fontId="102" fillId="0" borderId="0" xfId="68" applyNumberFormat="1" applyFont="1" applyBorder="1" applyAlignment="1">
      <alignment horizontal="justify"/>
    </xf>
    <xf numFmtId="0" fontId="103" fillId="0" borderId="0" xfId="67" applyFont="1" applyAlignment="1">
      <alignment horizontal="justify"/>
    </xf>
    <xf numFmtId="0" fontId="103" fillId="0" borderId="0" xfId="68" applyFont="1"/>
    <xf numFmtId="0" fontId="102" fillId="0" borderId="0" xfId="46" applyFont="1"/>
    <xf numFmtId="0" fontId="105" fillId="0" borderId="0" xfId="46" applyFont="1" applyAlignment="1">
      <alignment vertical="center"/>
    </xf>
    <xf numFmtId="3" fontId="105" fillId="0" borderId="0" xfId="46" applyNumberFormat="1" applyFont="1" applyAlignment="1">
      <alignment vertical="center"/>
    </xf>
    <xf numFmtId="0" fontId="60" fillId="0" borderId="13" xfId="51" applyFont="1" applyBorder="1" applyAlignment="1">
      <alignment horizontal="justify" vertical="center" wrapText="1"/>
    </xf>
    <xf numFmtId="0" fontId="67" fillId="0" borderId="0" xfId="0" applyFont="1"/>
    <xf numFmtId="0" fontId="107" fillId="0" borderId="0" xfId="0" applyFont="1"/>
    <xf numFmtId="0" fontId="92" fillId="0" borderId="11" xfId="47" applyFont="1" applyFill="1" applyBorder="1" applyAlignment="1">
      <alignment vertical="center" wrapText="1"/>
    </xf>
    <xf numFmtId="0" fontId="57" fillId="0" borderId="19" xfId="47" applyFont="1" applyFill="1" applyBorder="1" applyAlignment="1">
      <alignment horizontal="center" vertical="center" wrapText="1"/>
    </xf>
    <xf numFmtId="3" fontId="57" fillId="0" borderId="19" xfId="47" applyNumberFormat="1" applyFont="1" applyBorder="1" applyAlignment="1">
      <alignment horizontal="center" vertical="center" wrapText="1"/>
    </xf>
    <xf numFmtId="0" fontId="57" fillId="0" borderId="17" xfId="47" applyFont="1" applyFill="1" applyBorder="1" applyAlignment="1">
      <alignment horizontal="center" vertical="center" wrapText="1"/>
    </xf>
    <xf numFmtId="0" fontId="108" fillId="0" borderId="0" xfId="0" applyFont="1"/>
    <xf numFmtId="0" fontId="109" fillId="0" borderId="0" xfId="0" applyFont="1"/>
    <xf numFmtId="3" fontId="108" fillId="0" borderId="24" xfId="0" applyNumberFormat="1" applyFont="1" applyFill="1" applyBorder="1" applyAlignment="1">
      <alignment horizontal="right"/>
    </xf>
    <xf numFmtId="0" fontId="19" fillId="0" borderId="0" xfId="68" applyFont="1"/>
    <xf numFmtId="0" fontId="110" fillId="0" borderId="16" xfId="59" applyFont="1" applyFill="1" applyBorder="1" applyAlignment="1">
      <alignment horizontal="left"/>
    </xf>
    <xf numFmtId="0" fontId="110" fillId="0" borderId="53" xfId="59" applyFont="1" applyFill="1" applyBorder="1" applyAlignment="1">
      <alignment horizontal="left"/>
    </xf>
    <xf numFmtId="3" fontId="111" fillId="0" borderId="38" xfId="59" applyNumberFormat="1" applyFont="1" applyFill="1" applyBorder="1"/>
    <xf numFmtId="3" fontId="11" fillId="0" borderId="38" xfId="59" applyNumberFormat="1" applyFont="1" applyFill="1" applyBorder="1"/>
    <xf numFmtId="0" fontId="112" fillId="0" borderId="16" xfId="57" applyFont="1" applyBorder="1" applyAlignment="1">
      <alignment horizontal="left" wrapText="1"/>
    </xf>
    <xf numFmtId="0" fontId="13" fillId="0" borderId="0" xfId="59" applyBorder="1" applyAlignment="1">
      <alignment horizontal="left"/>
    </xf>
    <xf numFmtId="0" fontId="13" fillId="0" borderId="0" xfId="59" applyNumberFormat="1" applyBorder="1"/>
    <xf numFmtId="3" fontId="113" fillId="0" borderId="10" xfId="59" applyNumberFormat="1" applyFont="1" applyFill="1" applyBorder="1"/>
    <xf numFmtId="0" fontId="23" fillId="0" borderId="0" xfId="50" applyFont="1"/>
    <xf numFmtId="0" fontId="64" fillId="0" borderId="0" xfId="50" applyFont="1"/>
    <xf numFmtId="0" fontId="101" fillId="0" borderId="0" xfId="50" applyFont="1"/>
    <xf numFmtId="0" fontId="50" fillId="26" borderId="0" xfId="50" applyFont="1" applyFill="1" applyBorder="1" applyAlignment="1">
      <alignment horizontal="left" vertical="center"/>
    </xf>
    <xf numFmtId="0" fontId="50" fillId="26" borderId="0" xfId="50" applyFont="1" applyFill="1" applyBorder="1" applyAlignment="1">
      <alignment horizontal="left" vertical="center" wrapText="1"/>
    </xf>
    <xf numFmtId="3" fontId="50" fillId="26" borderId="0" xfId="50" applyNumberFormat="1" applyFont="1" applyFill="1" applyBorder="1"/>
    <xf numFmtId="0" fontId="23" fillId="0" borderId="0" xfId="50" applyFont="1" applyBorder="1"/>
    <xf numFmtId="3" fontId="23" fillId="0" borderId="0" xfId="50" applyNumberFormat="1" applyFont="1" applyBorder="1"/>
    <xf numFmtId="3" fontId="50" fillId="0" borderId="0" xfId="50" applyNumberFormat="1" applyFont="1" applyBorder="1"/>
    <xf numFmtId="0" fontId="58" fillId="0" borderId="10" xfId="47" applyFont="1" applyFill="1" applyBorder="1" applyAlignment="1">
      <alignment horizontal="center" vertical="center" wrapText="1"/>
    </xf>
    <xf numFmtId="0" fontId="51" fillId="0" borderId="10" xfId="47" applyFont="1" applyFill="1" applyBorder="1" applyAlignment="1">
      <alignment horizontal="center" vertical="center"/>
    </xf>
    <xf numFmtId="0" fontId="22" fillId="24" borderId="10" xfId="47" applyFont="1" applyFill="1" applyBorder="1" applyAlignment="1">
      <alignment horizontal="center" vertical="center"/>
    </xf>
    <xf numFmtId="165" fontId="50" fillId="24" borderId="10" xfId="64" applyNumberFormat="1" applyFont="1" applyFill="1" applyBorder="1" applyAlignment="1">
      <alignment horizontal="left" vertical="center" wrapText="1"/>
    </xf>
    <xf numFmtId="0" fontId="50" fillId="0" borderId="0" xfId="69" applyNumberFormat="1" applyFont="1" applyBorder="1" applyAlignment="1">
      <alignment horizontal="center" wrapText="1"/>
    </xf>
    <xf numFmtId="3" fontId="93" fillId="0" borderId="10" xfId="50" applyNumberFormat="1" applyFont="1" applyBorder="1"/>
    <xf numFmtId="0" fontId="20" fillId="0" borderId="23" xfId="0" applyFont="1" applyFill="1" applyBorder="1" applyAlignment="1">
      <alignment horizontal="left" vertical="center" wrapText="1"/>
    </xf>
    <xf numFmtId="0" fontId="19" fillId="0" borderId="23" xfId="0" applyFont="1" applyFill="1" applyBorder="1" applyAlignment="1">
      <alignment horizontal="left" vertical="center"/>
    </xf>
    <xf numFmtId="0" fontId="21" fillId="0" borderId="33"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22" fillId="0" borderId="0" xfId="47" applyFont="1" applyFill="1" applyAlignment="1">
      <alignment horizontal="center"/>
    </xf>
    <xf numFmtId="0" fontId="22" fillId="0" borderId="0" xfId="47" applyFont="1" applyFill="1" applyAlignment="1">
      <alignment horizontal="center" vertical="center"/>
    </xf>
    <xf numFmtId="0" fontId="22" fillId="0" borderId="10" xfId="47" applyFont="1" applyFill="1" applyBorder="1" applyAlignment="1">
      <alignment horizontal="center" vertical="center"/>
    </xf>
    <xf numFmtId="0" fontId="22" fillId="0" borderId="10" xfId="47" applyFont="1" applyFill="1" applyBorder="1" applyAlignment="1">
      <alignment horizontal="center" vertical="center" wrapText="1"/>
    </xf>
    <xf numFmtId="0" fontId="51" fillId="0" borderId="0" xfId="47" applyFont="1" applyFill="1" applyBorder="1" applyAlignment="1">
      <alignment horizontal="center" vertical="center"/>
    </xf>
    <xf numFmtId="0" fontId="51" fillId="0" borderId="0" xfId="47" applyFont="1" applyFill="1" applyBorder="1"/>
    <xf numFmtId="0" fontId="51" fillId="0" borderId="0" xfId="0" applyFont="1" applyFill="1"/>
    <xf numFmtId="0" fontId="51" fillId="0" borderId="0" xfId="0" applyFont="1"/>
    <xf numFmtId="0" fontId="22" fillId="0" borderId="0" xfId="0" applyFont="1" applyFill="1" applyAlignment="1">
      <alignment horizontal="center"/>
    </xf>
    <xf numFmtId="0" fontId="22" fillId="0" borderId="0" xfId="0" applyFont="1" applyFill="1" applyBorder="1" applyAlignment="1">
      <alignment horizontal="center"/>
    </xf>
    <xf numFmtId="0" fontId="22" fillId="0" borderId="0" xfId="0" applyFont="1" applyFill="1" applyBorder="1"/>
    <xf numFmtId="0" fontId="22" fillId="0" borderId="18" xfId="68" applyFont="1" applyFill="1" applyBorder="1" applyAlignment="1">
      <alignment horizontal="center" vertical="center" wrapText="1"/>
    </xf>
    <xf numFmtId="0" fontId="51" fillId="0" borderId="26" xfId="68" applyFont="1" applyFill="1" applyBorder="1" applyAlignment="1">
      <alignment horizontal="center" vertical="center" wrapText="1"/>
    </xf>
    <xf numFmtId="0" fontId="51" fillId="0" borderId="24" xfId="68" applyFont="1" applyFill="1" applyBorder="1" applyAlignment="1">
      <alignment vertical="center"/>
    </xf>
    <xf numFmtId="0" fontId="51" fillId="0" borderId="0" xfId="0" applyFont="1" applyAlignment="1">
      <alignment horizontal="center"/>
    </xf>
    <xf numFmtId="0" fontId="118" fillId="0" borderId="0" xfId="0" applyFont="1"/>
    <xf numFmtId="3" fontId="51" fillId="0" borderId="0" xfId="33" applyNumberFormat="1" applyFont="1"/>
    <xf numFmtId="0" fontId="51" fillId="0" borderId="0" xfId="71" applyFont="1"/>
    <xf numFmtId="1" fontId="119" fillId="0" borderId="0" xfId="56" applyNumberFormat="1" applyFont="1"/>
    <xf numFmtId="1" fontId="120" fillId="0" borderId="0" xfId="56" applyNumberFormat="1" applyFont="1"/>
    <xf numFmtId="1" fontId="50" fillId="0" borderId="0" xfId="56" applyNumberFormat="1" applyFont="1"/>
    <xf numFmtId="1" fontId="23" fillId="0" borderId="0" xfId="56" applyNumberFormat="1" applyFont="1"/>
    <xf numFmtId="0" fontId="51" fillId="0" borderId="0" xfId="66" applyFont="1" applyBorder="1" applyAlignment="1">
      <alignment horizontal="right" vertical="center"/>
    </xf>
    <xf numFmtId="1" fontId="50" fillId="0" borderId="0" xfId="56" applyNumberFormat="1" applyFont="1" applyBorder="1"/>
    <xf numFmtId="1" fontId="23" fillId="0" borderId="0" xfId="56" applyNumberFormat="1" applyFont="1" applyBorder="1"/>
    <xf numFmtId="1" fontId="51" fillId="0" borderId="0" xfId="56" applyNumberFormat="1" applyFont="1"/>
    <xf numFmtId="0" fontId="51" fillId="0" borderId="0" xfId="66" applyFont="1" applyAlignment="1">
      <alignment horizontal="right" vertical="center"/>
    </xf>
    <xf numFmtId="1" fontId="50" fillId="0" borderId="10" xfId="56" applyNumberFormat="1" applyFont="1" applyBorder="1" applyAlignment="1">
      <alignment horizontal="center"/>
    </xf>
    <xf numFmtId="0" fontId="51" fillId="0" borderId="10" xfId="71" applyFont="1" applyBorder="1"/>
    <xf numFmtId="1" fontId="50" fillId="0" borderId="10" xfId="56" applyNumberFormat="1" applyFont="1" applyBorder="1"/>
    <xf numFmtId="1" fontId="23" fillId="0" borderId="10" xfId="56" applyNumberFormat="1" applyFont="1" applyBorder="1"/>
    <xf numFmtId="169" fontId="51" fillId="0" borderId="0" xfId="71" applyNumberFormat="1" applyFont="1"/>
    <xf numFmtId="169" fontId="23" fillId="0" borderId="10" xfId="56" applyNumberFormat="1" applyFont="1" applyBorder="1"/>
    <xf numFmtId="169" fontId="50" fillId="0" borderId="10" xfId="56" applyNumberFormat="1" applyFont="1" applyBorder="1"/>
    <xf numFmtId="3" fontId="51" fillId="0" borderId="0" xfId="71" applyNumberFormat="1" applyFont="1"/>
    <xf numFmtId="169" fontId="22" fillId="0" borderId="10" xfId="56" applyNumberFormat="1" applyFont="1" applyBorder="1"/>
    <xf numFmtId="0" fontId="15" fillId="0" borderId="0" xfId="77" applyFont="1"/>
    <xf numFmtId="0" fontId="50" fillId="0" borderId="0" xfId="77" applyFont="1" applyAlignment="1">
      <alignment vertical="center" wrapText="1"/>
    </xf>
    <xf numFmtId="0" fontId="23" fillId="0" borderId="0" xfId="77" applyFont="1"/>
    <xf numFmtId="0" fontId="16" fillId="0" borderId="0" xfId="77" applyFont="1"/>
    <xf numFmtId="0" fontId="60" fillId="0" borderId="10" xfId="77" applyFont="1" applyFill="1" applyBorder="1" applyAlignment="1">
      <alignment horizontal="justify" vertical="center" wrapText="1"/>
    </xf>
    <xf numFmtId="0" fontId="19" fillId="0" borderId="10" xfId="77" applyFont="1" applyFill="1" applyBorder="1" applyAlignment="1">
      <alignment horizontal="justify" vertical="center" wrapText="1"/>
    </xf>
    <xf numFmtId="0" fontId="65" fillId="0" borderId="10" xfId="77" applyFont="1" applyFill="1" applyBorder="1" applyAlignment="1">
      <alignment horizontal="justify" vertical="center" wrapText="1"/>
    </xf>
    <xf numFmtId="0" fontId="14" fillId="0" borderId="37" xfId="77" applyFont="1" applyFill="1" applyBorder="1" applyAlignment="1">
      <alignment horizontal="justify" vertical="center" wrapText="1"/>
    </xf>
    <xf numFmtId="0" fontId="65" fillId="0" borderId="10" xfId="77" applyFont="1" applyBorder="1" applyAlignment="1">
      <alignment horizontal="justify" vertical="center" wrapText="1"/>
    </xf>
    <xf numFmtId="0" fontId="60" fillId="0" borderId="10" xfId="77" applyFont="1" applyBorder="1" applyAlignment="1">
      <alignment horizontal="justify" vertical="center" wrapText="1"/>
    </xf>
    <xf numFmtId="0" fontId="19" fillId="0" borderId="38" xfId="77" applyFont="1" applyBorder="1" applyAlignment="1">
      <alignment horizontal="justify" vertical="center" wrapText="1"/>
    </xf>
    <xf numFmtId="0" fontId="19" fillId="0" borderId="38" xfId="77" applyFont="1" applyBorder="1" applyAlignment="1">
      <alignment horizontal="center" vertical="center" wrapText="1"/>
    </xf>
    <xf numFmtId="0" fontId="60" fillId="0" borderId="23" xfId="77" applyFont="1" applyBorder="1" applyAlignment="1">
      <alignment horizontal="center" vertical="justify"/>
    </xf>
    <xf numFmtId="0" fontId="63" fillId="31" borderId="23" xfId="77" applyFont="1" applyFill="1" applyBorder="1" applyAlignment="1">
      <alignment vertical="center" wrapText="1"/>
    </xf>
    <xf numFmtId="0" fontId="15" fillId="0" borderId="0" xfId="77" applyFont="1" applyAlignment="1">
      <alignment horizontal="center" vertical="justify"/>
    </xf>
    <xf numFmtId="0" fontId="19" fillId="0" borderId="10" xfId="77" applyFont="1" applyBorder="1" applyAlignment="1">
      <alignment horizontal="justify" vertical="center" wrapText="1"/>
    </xf>
    <xf numFmtId="0" fontId="70" fillId="0" borderId="10" xfId="77" applyFont="1" applyBorder="1" applyAlignment="1">
      <alignment horizontal="justify" vertical="center" wrapText="1"/>
    </xf>
    <xf numFmtId="0" fontId="19" fillId="0" borderId="16" xfId="77" applyFont="1" applyBorder="1" applyAlignment="1">
      <alignment horizontal="justify" vertical="center" wrapText="1"/>
    </xf>
    <xf numFmtId="0" fontId="14" fillId="0" borderId="16" xfId="77" applyFont="1" applyBorder="1" applyAlignment="1">
      <alignment vertical="center" wrapText="1"/>
    </xf>
    <xf numFmtId="0" fontId="56" fillId="0" borderId="44" xfId="77" applyFont="1" applyFill="1" applyBorder="1" applyAlignment="1"/>
    <xf numFmtId="0" fontId="63" fillId="31" borderId="40" xfId="77" applyFont="1" applyFill="1" applyBorder="1" applyAlignment="1">
      <alignment vertical="center" wrapText="1"/>
    </xf>
    <xf numFmtId="3" fontId="14" fillId="0" borderId="10" xfId="77" applyNumberFormat="1" applyFont="1" applyFill="1" applyBorder="1" applyAlignment="1">
      <alignment horizontal="right" vertical="center"/>
    </xf>
    <xf numFmtId="0" fontId="60" fillId="0" borderId="10" xfId="77" applyFont="1" applyBorder="1" applyAlignment="1">
      <alignment horizontal="justify" vertical="center"/>
    </xf>
    <xf numFmtId="0" fontId="15" fillId="0" borderId="0" xfId="77" applyFont="1" applyAlignment="1">
      <alignment horizontal="justify" vertical="center"/>
    </xf>
    <xf numFmtId="0" fontId="56" fillId="0" borderId="16" xfId="77" applyFont="1" applyFill="1" applyBorder="1"/>
    <xf numFmtId="0" fontId="63" fillId="31" borderId="24" xfId="77" applyFont="1" applyFill="1" applyBorder="1" applyAlignment="1">
      <alignment vertical="center" wrapText="1"/>
    </xf>
    <xf numFmtId="0" fontId="19" fillId="0" borderId="40" xfId="77" applyFont="1" applyBorder="1"/>
    <xf numFmtId="0" fontId="19" fillId="0" borderId="41" xfId="77" applyFont="1" applyBorder="1"/>
    <xf numFmtId="0" fontId="19" fillId="0" borderId="42" xfId="77" applyFont="1" applyBorder="1"/>
    <xf numFmtId="0" fontId="19" fillId="32" borderId="11" xfId="77" applyFont="1" applyFill="1" applyBorder="1"/>
    <xf numFmtId="0" fontId="19" fillId="32" borderId="45" xfId="77" applyFont="1" applyFill="1" applyBorder="1"/>
    <xf numFmtId="0" fontId="19" fillId="32" borderId="20" xfId="77" applyFont="1" applyFill="1" applyBorder="1"/>
    <xf numFmtId="0" fontId="14" fillId="32" borderId="45" xfId="77" applyFont="1" applyFill="1" applyBorder="1"/>
    <xf numFmtId="0" fontId="18" fillId="0" borderId="0" xfId="77" applyFont="1"/>
    <xf numFmtId="0" fontId="14" fillId="0" borderId="10" xfId="77" applyFont="1" applyFill="1" applyBorder="1" applyAlignment="1">
      <alignment horizontal="justify" vertical="center" wrapText="1"/>
    </xf>
    <xf numFmtId="0" fontId="63" fillId="31" borderId="40" xfId="77" applyFont="1" applyFill="1" applyBorder="1" applyAlignment="1">
      <alignment horizontal="center" vertical="center" wrapText="1"/>
    </xf>
    <xf numFmtId="0" fontId="14" fillId="0" borderId="40" xfId="77" applyFont="1" applyBorder="1" applyAlignment="1">
      <alignment horizontal="justify" vertical="center" wrapText="1"/>
    </xf>
    <xf numFmtId="0" fontId="19" fillId="0" borderId="40" xfId="77" applyFont="1" applyBorder="1" applyAlignment="1">
      <alignment horizontal="justify" vertical="center" wrapText="1"/>
    </xf>
    <xf numFmtId="0" fontId="19" fillId="0" borderId="23" xfId="77" applyFont="1" applyBorder="1" applyAlignment="1">
      <alignment horizontal="justify" vertical="center" wrapText="1"/>
    </xf>
    <xf numFmtId="0" fontId="56" fillId="0" borderId="40" xfId="77" applyFont="1" applyFill="1" applyBorder="1" applyAlignment="1"/>
    <xf numFmtId="0" fontId="60" fillId="0" borderId="24" xfId="77" applyFont="1" applyFill="1" applyBorder="1" applyAlignment="1">
      <alignment horizontal="justify" vertical="center" wrapText="1"/>
    </xf>
    <xf numFmtId="0" fontId="19" fillId="0" borderId="24" xfId="77" applyFont="1" applyFill="1" applyBorder="1" applyAlignment="1">
      <alignment horizontal="justify" vertical="center" wrapText="1"/>
    </xf>
    <xf numFmtId="0" fontId="14" fillId="0" borderId="23" xfId="77" applyFont="1" applyBorder="1" applyAlignment="1">
      <alignment vertical="center" wrapText="1"/>
    </xf>
    <xf numFmtId="10" fontId="93" fillId="0" borderId="10" xfId="78" applyNumberFormat="1" applyFont="1" applyBorder="1"/>
    <xf numFmtId="171" fontId="93" fillId="0" borderId="10" xfId="50" applyNumberFormat="1" applyFont="1" applyBorder="1"/>
    <xf numFmtId="3" fontId="93" fillId="0" borderId="10" xfId="50" applyNumberFormat="1" applyFont="1" applyBorder="1" applyAlignment="1">
      <alignment horizontal="right"/>
    </xf>
    <xf numFmtId="3" fontId="22" fillId="0" borderId="10" xfId="55" applyNumberFormat="1" applyFont="1" applyFill="1" applyBorder="1" applyAlignment="1">
      <alignment horizontal="right" vertical="center"/>
    </xf>
    <xf numFmtId="0" fontId="18" fillId="0" borderId="24" xfId="68" applyFont="1" applyFill="1" applyBorder="1" applyAlignment="1">
      <alignment vertical="center" wrapText="1"/>
    </xf>
    <xf numFmtId="0" fontId="18" fillId="0" borderId="10" xfId="68" applyFont="1" applyBorder="1" applyAlignment="1">
      <alignment vertical="center" wrapText="1"/>
    </xf>
    <xf numFmtId="0" fontId="23" fillId="0" borderId="0" xfId="79" applyFont="1"/>
    <xf numFmtId="0" fontId="18" fillId="0" borderId="0" xfId="79" applyFont="1"/>
    <xf numFmtId="0" fontId="64" fillId="0" borderId="0" xfId="79" applyFont="1"/>
    <xf numFmtId="0" fontId="23" fillId="0" borderId="0" xfId="79" applyFont="1" applyAlignment="1">
      <alignment horizontal="right"/>
    </xf>
    <xf numFmtId="0" fontId="21" fillId="0" borderId="18" xfId="79" applyFont="1" applyFill="1" applyBorder="1" applyAlignment="1">
      <alignment horizontal="center" vertical="center"/>
    </xf>
    <xf numFmtId="0" fontId="21" fillId="0" borderId="19" xfId="79" applyFont="1" applyFill="1" applyBorder="1" applyAlignment="1">
      <alignment horizontal="center" vertical="center" wrapText="1"/>
    </xf>
    <xf numFmtId="0" fontId="21" fillId="0" borderId="26" xfId="79" applyFont="1" applyFill="1" applyBorder="1" applyAlignment="1">
      <alignment vertical="center" wrapText="1"/>
    </xf>
    <xf numFmtId="167" fontId="21" fillId="0" borderId="24" xfId="79" applyNumberFormat="1" applyFont="1" applyFill="1" applyBorder="1" applyAlignment="1">
      <alignment vertical="center"/>
    </xf>
    <xf numFmtId="0" fontId="21" fillId="0" borderId="27" xfId="79" applyFont="1" applyFill="1" applyBorder="1" applyAlignment="1">
      <alignment horizontal="left" vertical="center" wrapText="1"/>
    </xf>
    <xf numFmtId="167" fontId="21" fillId="0" borderId="10" xfId="79" applyNumberFormat="1" applyFont="1" applyFill="1" applyBorder="1" applyAlignment="1">
      <alignment vertical="center"/>
    </xf>
    <xf numFmtId="0" fontId="14" fillId="0" borderId="27" xfId="79" applyFont="1" applyFill="1" applyBorder="1" applyAlignment="1">
      <alignment horizontal="left" vertical="center" wrapText="1"/>
    </xf>
    <xf numFmtId="0" fontId="97" fillId="26" borderId="27" xfId="79" applyFont="1" applyFill="1" applyBorder="1"/>
    <xf numFmtId="0" fontId="97" fillId="26" borderId="10" xfId="79" applyFont="1" applyFill="1" applyBorder="1"/>
    <xf numFmtId="0" fontId="21" fillId="0" borderId="27" xfId="79" applyFont="1" applyFill="1" applyBorder="1" applyAlignment="1">
      <alignment horizontal="left" vertical="center"/>
    </xf>
    <xf numFmtId="3" fontId="21" fillId="26" borderId="10" xfId="79" applyNumberFormat="1" applyFont="1" applyFill="1" applyBorder="1" applyAlignment="1">
      <alignment horizontal="center"/>
    </xf>
    <xf numFmtId="0" fontId="21" fillId="24" borderId="27" xfId="79" applyFont="1" applyFill="1" applyBorder="1" applyAlignment="1">
      <alignment horizontal="left" vertical="center"/>
    </xf>
    <xf numFmtId="167" fontId="21" fillId="24" borderId="10" xfId="79" applyNumberFormat="1" applyFont="1" applyFill="1" applyBorder="1" applyAlignment="1">
      <alignment vertical="center"/>
    </xf>
    <xf numFmtId="0" fontId="14" fillId="0" borderId="27" xfId="79" applyFont="1" applyFill="1" applyBorder="1" applyAlignment="1">
      <alignment horizontal="left" vertical="center"/>
    </xf>
    <xf numFmtId="0" fontId="21" fillId="0" borderId="10" xfId="79" applyFont="1" applyFill="1" applyBorder="1" applyAlignment="1">
      <alignment horizontal="left" vertical="center" wrapText="1"/>
    </xf>
    <xf numFmtId="0" fontId="14" fillId="0" borderId="0" xfId="79" applyFont="1" applyFill="1" applyBorder="1" applyAlignment="1">
      <alignment horizontal="left" vertical="center"/>
    </xf>
    <xf numFmtId="0" fontId="18" fillId="0" borderId="0" xfId="79" applyFont="1" applyBorder="1"/>
    <xf numFmtId="0" fontId="19" fillId="0" borderId="27" xfId="79" applyFont="1" applyFill="1" applyBorder="1" applyAlignment="1">
      <alignment horizontal="left" vertical="center" wrapText="1"/>
    </xf>
    <xf numFmtId="0" fontId="18" fillId="0" borderId="10" xfId="79" applyFont="1" applyFill="1" applyBorder="1" applyAlignment="1">
      <alignment horizontal="left" vertical="center" wrapText="1"/>
    </xf>
    <xf numFmtId="0" fontId="19" fillId="0" borderId="0" xfId="79" applyFont="1" applyFill="1" applyBorder="1" applyAlignment="1">
      <alignment horizontal="left" vertical="center" wrapText="1"/>
    </xf>
    <xf numFmtId="0" fontId="14" fillId="24" borderId="31" xfId="79" applyFont="1" applyFill="1" applyBorder="1" applyAlignment="1">
      <alignment horizontal="left" vertical="center"/>
    </xf>
    <xf numFmtId="0" fontId="21" fillId="24" borderId="23" xfId="79" applyFont="1" applyFill="1" applyBorder="1" applyAlignment="1">
      <alignment horizontal="left" vertical="center" wrapText="1"/>
    </xf>
    <xf numFmtId="0" fontId="21" fillId="27" borderId="18" xfId="79" applyFont="1" applyFill="1" applyBorder="1"/>
    <xf numFmtId="0" fontId="18" fillId="27" borderId="19" xfId="79" applyFont="1" applyFill="1" applyBorder="1"/>
    <xf numFmtId="0" fontId="23" fillId="0" borderId="0" xfId="79" applyFont="1" applyBorder="1"/>
    <xf numFmtId="0" fontId="21" fillId="0" borderId="26" xfId="79" applyFont="1" applyFill="1" applyBorder="1" applyAlignment="1">
      <alignment horizontal="left" vertical="center" wrapText="1"/>
    </xf>
    <xf numFmtId="0" fontId="21" fillId="0" borderId="24" xfId="79" applyFont="1" applyFill="1" applyBorder="1" applyAlignment="1">
      <alignment horizontal="left" vertical="center"/>
    </xf>
    <xf numFmtId="0" fontId="21" fillId="0" borderId="10" xfId="79" applyFont="1" applyFill="1" applyBorder="1" applyAlignment="1">
      <alignment horizontal="left" vertical="center"/>
    </xf>
    <xf numFmtId="0" fontId="21" fillId="26" borderId="10" xfId="79" applyFont="1" applyFill="1" applyBorder="1" applyAlignment="1">
      <alignment horizontal="left" vertical="center"/>
    </xf>
    <xf numFmtId="0" fontId="14" fillId="24" borderId="27" xfId="79" applyFont="1" applyFill="1" applyBorder="1" applyAlignment="1">
      <alignment horizontal="left" vertical="center" wrapText="1"/>
    </xf>
    <xf numFmtId="0" fontId="21" fillId="24" borderId="10" xfId="79" applyFont="1" applyFill="1" applyBorder="1" applyAlignment="1">
      <alignment horizontal="left" vertical="center"/>
    </xf>
    <xf numFmtId="0" fontId="21" fillId="28" borderId="27" xfId="79" applyFont="1" applyFill="1" applyBorder="1"/>
    <xf numFmtId="0" fontId="21" fillId="28" borderId="10" xfId="79" applyFont="1" applyFill="1" applyBorder="1" applyAlignment="1">
      <alignment horizontal="left" vertical="center"/>
    </xf>
    <xf numFmtId="3" fontId="18" fillId="0" borderId="0" xfId="79" applyNumberFormat="1" applyFont="1" applyBorder="1"/>
    <xf numFmtId="2" fontId="67" fillId="0" borderId="10" xfId="47" applyNumberFormat="1" applyFont="1" applyBorder="1" applyAlignment="1">
      <alignment vertical="center"/>
    </xf>
    <xf numFmtId="0" fontId="67" fillId="0" borderId="0" xfId="47" applyFont="1" applyAlignment="1">
      <alignment vertical="center"/>
    </xf>
    <xf numFmtId="0" fontId="53" fillId="0" borderId="0" xfId="59" applyFont="1" applyBorder="1" applyAlignment="1">
      <alignment vertical="center"/>
    </xf>
    <xf numFmtId="0" fontId="12" fillId="0" borderId="0" xfId="59" applyFont="1" applyBorder="1" applyAlignment="1">
      <alignment vertical="center"/>
    </xf>
    <xf numFmtId="1" fontId="53" fillId="0" borderId="0" xfId="59" applyNumberFormat="1" applyFont="1" applyBorder="1" applyAlignment="1">
      <alignment vertical="center"/>
    </xf>
    <xf numFmtId="3" fontId="18" fillId="0" borderId="0" xfId="0" applyNumberFormat="1" applyFont="1"/>
    <xf numFmtId="0" fontId="18" fillId="0" borderId="0" xfId="0" applyFont="1" applyAlignment="1">
      <alignment vertical="center"/>
    </xf>
    <xf numFmtId="0" fontId="127" fillId="0" borderId="0" xfId="0" applyFont="1"/>
    <xf numFmtId="0" fontId="19" fillId="0" borderId="0" xfId="0" applyFont="1" applyAlignment="1"/>
    <xf numFmtId="0" fontId="60" fillId="0" borderId="0" xfId="0" applyFont="1" applyAlignment="1"/>
    <xf numFmtId="3" fontId="60" fillId="0" borderId="0" xfId="0" applyNumberFormat="1" applyFont="1" applyAlignment="1"/>
    <xf numFmtId="10" fontId="117" fillId="0" borderId="0" xfId="46" applyNumberFormat="1"/>
    <xf numFmtId="172" fontId="117" fillId="0" borderId="0" xfId="46" applyNumberFormat="1"/>
    <xf numFmtId="0" fontId="7" fillId="0" borderId="0" xfId="46" applyFont="1"/>
    <xf numFmtId="14" fontId="117" fillId="0" borderId="0" xfId="46" applyNumberFormat="1"/>
    <xf numFmtId="0" fontId="8" fillId="0" borderId="0" xfId="46" applyFont="1"/>
    <xf numFmtId="0" fontId="18" fillId="0" borderId="24" xfId="68" applyFont="1" applyBorder="1" applyAlignment="1">
      <alignment vertical="center" wrapText="1"/>
    </xf>
    <xf numFmtId="0" fontId="22" fillId="0" borderId="0" xfId="58" applyFont="1" applyBorder="1" applyAlignment="1">
      <alignment horizontal="center" vertical="center"/>
    </xf>
    <xf numFmtId="0" fontId="51" fillId="0" borderId="0" xfId="51" applyFont="1" applyBorder="1" applyAlignment="1">
      <alignment horizontal="center" vertical="center"/>
    </xf>
    <xf numFmtId="0" fontId="51" fillId="35" borderId="0" xfId="0" applyFont="1" applyFill="1"/>
    <xf numFmtId="10" fontId="117" fillId="0" borderId="0" xfId="46" applyNumberFormat="1" applyBorder="1"/>
    <xf numFmtId="0" fontId="7" fillId="0" borderId="0" xfId="46" applyFont="1" applyBorder="1"/>
    <xf numFmtId="3" fontId="13" fillId="0" borderId="0" xfId="58" applyNumberFormat="1" applyBorder="1"/>
    <xf numFmtId="3" fontId="16" fillId="0" borderId="0" xfId="0" applyNumberFormat="1" applyFont="1"/>
    <xf numFmtId="0" fontId="82" fillId="0" borderId="27" xfId="82" applyFont="1" applyFill="1" applyBorder="1" applyAlignment="1">
      <alignment horizontal="left" vertical="center"/>
    </xf>
    <xf numFmtId="0" fontId="18" fillId="33" borderId="0" xfId="0" applyFont="1" applyFill="1"/>
    <xf numFmtId="0" fontId="61" fillId="0" borderId="49" xfId="46" applyFont="1" applyBorder="1" applyAlignment="1">
      <alignment horizontal="center" vertical="center" wrapText="1"/>
    </xf>
    <xf numFmtId="0" fontId="50" fillId="0" borderId="0" xfId="0" applyFont="1" applyAlignment="1">
      <alignment horizontal="center"/>
    </xf>
    <xf numFmtId="0" fontId="57" fillId="0" borderId="0" xfId="47" applyFont="1" applyAlignment="1">
      <alignment horizontal="center"/>
    </xf>
    <xf numFmtId="0" fontId="22" fillId="0" borderId="0" xfId="47" applyFont="1" applyAlignment="1">
      <alignment horizontal="center"/>
    </xf>
    <xf numFmtId="0" fontId="50" fillId="0" borderId="0" xfId="58" applyFont="1" applyBorder="1" applyAlignment="1">
      <alignment horizontal="center" wrapText="1"/>
    </xf>
    <xf numFmtId="0" fontId="92" fillId="0" borderId="0" xfId="59" applyFont="1" applyBorder="1" applyAlignment="1">
      <alignment wrapText="1"/>
    </xf>
    <xf numFmtId="0" fontId="57" fillId="0" borderId="0" xfId="47" applyFont="1" applyAlignment="1"/>
    <xf numFmtId="172" fontId="7" fillId="0" borderId="0" xfId="82" applyNumberFormat="1" applyFont="1"/>
    <xf numFmtId="0" fontId="67" fillId="0" borderId="0" xfId="68" applyFont="1" applyAlignment="1">
      <alignment vertical="top"/>
    </xf>
    <xf numFmtId="0" fontId="18" fillId="0" borderId="23" xfId="68" applyFont="1" applyBorder="1" applyAlignment="1">
      <alignment vertical="center" wrapText="1"/>
    </xf>
    <xf numFmtId="0" fontId="59" fillId="0" borderId="10" xfId="68" applyFont="1" applyFill="1" applyBorder="1" applyAlignment="1">
      <alignment vertical="center" wrapText="1"/>
    </xf>
    <xf numFmtId="0" fontId="60" fillId="0" borderId="0" xfId="0" applyFont="1" applyAlignment="1">
      <alignment vertical="center"/>
    </xf>
    <xf numFmtId="0" fontId="65" fillId="0" borderId="0" xfId="0" applyNumberFormat="1" applyFont="1" applyAlignment="1">
      <alignment horizontal="center" vertical="center"/>
    </xf>
    <xf numFmtId="0" fontId="69" fillId="0" borderId="0" xfId="0" applyFont="1" applyAlignment="1">
      <alignment horizontal="center" vertical="center"/>
    </xf>
    <xf numFmtId="0" fontId="60" fillId="0" borderId="0" xfId="0" applyFont="1" applyAlignment="1">
      <alignment horizontal="center" vertical="center"/>
    </xf>
    <xf numFmtId="49" fontId="60" fillId="0" borderId="0" xfId="0" applyNumberFormat="1" applyFont="1" applyAlignment="1">
      <alignment horizontal="center" vertical="center"/>
    </xf>
    <xf numFmtId="49" fontId="60" fillId="0" borderId="0" xfId="0" applyNumberFormat="1" applyFont="1" applyAlignment="1">
      <alignment vertical="center"/>
    </xf>
    <xf numFmtId="0" fontId="59" fillId="0" borderId="10" xfId="0" applyFont="1" applyBorder="1" applyAlignment="1">
      <alignment vertical="center" wrapText="1"/>
    </xf>
    <xf numFmtId="3" fontId="60" fillId="0" borderId="0" xfId="0" applyNumberFormat="1" applyFont="1" applyAlignment="1">
      <alignment horizontal="center" vertical="center"/>
    </xf>
    <xf numFmtId="0" fontId="50" fillId="0" borderId="0" xfId="0" applyFont="1" applyAlignment="1">
      <alignment horizontal="center"/>
    </xf>
    <xf numFmtId="3" fontId="108" fillId="25" borderId="0" xfId="0" applyNumberFormat="1" applyFont="1" applyFill="1"/>
    <xf numFmtId="3" fontId="67" fillId="25" borderId="0" xfId="0" applyNumberFormat="1" applyFont="1" applyFill="1"/>
    <xf numFmtId="3" fontId="19" fillId="0" borderId="0" xfId="77" applyNumberFormat="1" applyFont="1" applyFill="1" applyBorder="1" applyAlignment="1">
      <alignment horizontal="right" vertical="center" wrapText="1"/>
    </xf>
    <xf numFmtId="3" fontId="14" fillId="0" borderId="0" xfId="77" applyNumberFormat="1" applyFont="1" applyBorder="1" applyAlignment="1">
      <alignment horizontal="right" vertical="center"/>
    </xf>
    <xf numFmtId="3" fontId="19" fillId="0" borderId="0" xfId="77" applyNumberFormat="1" applyFont="1" applyBorder="1" applyAlignment="1">
      <alignment horizontal="right" vertical="center"/>
    </xf>
    <xf numFmtId="169" fontId="50" fillId="34" borderId="10" xfId="56" applyNumberFormat="1" applyFont="1" applyFill="1" applyBorder="1"/>
    <xf numFmtId="0" fontId="18" fillId="0" borderId="0" xfId="0" applyFont="1" applyAlignment="1">
      <alignment horizontal="right" vertical="center"/>
    </xf>
    <xf numFmtId="0" fontId="23" fillId="0" borderId="0" xfId="46" applyFont="1" applyAlignment="1">
      <alignment horizontal="center"/>
    </xf>
    <xf numFmtId="3" fontId="108" fillId="0" borderId="10" xfId="64" applyNumberFormat="1" applyFont="1" applyFill="1" applyBorder="1" applyAlignment="1">
      <alignment vertical="center"/>
    </xf>
    <xf numFmtId="3" fontId="133" fillId="0" borderId="10" xfId="64" applyNumberFormat="1" applyFont="1" applyFill="1" applyBorder="1" applyAlignment="1">
      <alignment vertical="center"/>
    </xf>
    <xf numFmtId="3" fontId="109" fillId="24" borderId="10" xfId="64" applyNumberFormat="1" applyFont="1" applyFill="1" applyBorder="1" applyAlignment="1">
      <alignment vertical="center" wrapText="1"/>
    </xf>
    <xf numFmtId="3" fontId="108" fillId="0" borderId="10" xfId="64" applyNumberFormat="1" applyFont="1" applyFill="1" applyBorder="1" applyAlignment="1">
      <alignment horizontal="right" vertical="center" wrapText="1"/>
    </xf>
    <xf numFmtId="3" fontId="133" fillId="0" borderId="10" xfId="64" applyNumberFormat="1" applyFont="1" applyFill="1" applyBorder="1" applyAlignment="1">
      <alignment horizontal="right" vertical="center" wrapText="1"/>
    </xf>
    <xf numFmtId="3" fontId="109" fillId="24" borderId="10" xfId="64" applyNumberFormat="1" applyFont="1" applyFill="1" applyBorder="1" applyAlignment="1">
      <alignment horizontal="right" vertical="center" wrapText="1"/>
    </xf>
    <xf numFmtId="3" fontId="93" fillId="0" borderId="10" xfId="0" applyNumberFormat="1" applyFont="1" applyBorder="1" applyAlignment="1">
      <alignment horizontal="right" vertical="center"/>
    </xf>
    <xf numFmtId="3" fontId="67" fillId="0" borderId="10" xfId="0" applyNumberFormat="1" applyFont="1" applyBorder="1" applyAlignment="1">
      <alignment horizontal="right" vertical="center"/>
    </xf>
    <xf numFmtId="3" fontId="67" fillId="0" borderId="23" xfId="0" applyNumberFormat="1" applyFont="1" applyBorder="1" applyAlignment="1">
      <alignment horizontal="right" vertical="center"/>
    </xf>
    <xf numFmtId="3" fontId="57" fillId="24" borderId="19" xfId="0" applyNumberFormat="1" applyFont="1" applyFill="1" applyBorder="1" applyAlignment="1">
      <alignment horizontal="right" vertical="center"/>
    </xf>
    <xf numFmtId="3" fontId="108" fillId="0" borderId="10" xfId="0" applyNumberFormat="1" applyFont="1" applyBorder="1" applyAlignment="1">
      <alignment horizontal="right" vertical="center"/>
    </xf>
    <xf numFmtId="3" fontId="108" fillId="0" borderId="10" xfId="0" applyNumberFormat="1" applyFont="1" applyFill="1" applyBorder="1" applyAlignment="1">
      <alignment horizontal="right" vertical="center"/>
    </xf>
    <xf numFmtId="3" fontId="134" fillId="29" borderId="19" xfId="0" applyNumberFormat="1" applyFont="1" applyFill="1" applyBorder="1" applyAlignment="1">
      <alignment horizontal="right"/>
    </xf>
    <xf numFmtId="3" fontId="67" fillId="0" borderId="24" xfId="0" applyNumberFormat="1" applyFont="1" applyBorder="1" applyAlignment="1">
      <alignment horizontal="right"/>
    </xf>
    <xf numFmtId="3" fontId="67" fillId="0" borderId="10" xfId="0" applyNumberFormat="1" applyFont="1" applyBorder="1" applyAlignment="1">
      <alignment horizontal="right"/>
    </xf>
    <xf numFmtId="3" fontId="134" fillId="24" borderId="19" xfId="0" applyNumberFormat="1" applyFont="1" applyFill="1" applyBorder="1" applyAlignment="1">
      <alignment horizontal="right"/>
    </xf>
    <xf numFmtId="3" fontId="57" fillId="29" borderId="19" xfId="0" applyNumberFormat="1" applyFont="1" applyFill="1" applyBorder="1" applyAlignment="1">
      <alignment horizontal="right" vertical="center"/>
    </xf>
    <xf numFmtId="3" fontId="67" fillId="0" borderId="24" xfId="0" applyNumberFormat="1" applyFont="1" applyBorder="1" applyAlignment="1">
      <alignment horizontal="right" vertical="center"/>
    </xf>
    <xf numFmtId="0" fontId="50" fillId="0" borderId="49" xfId="0" applyFont="1" applyFill="1" applyBorder="1" applyAlignment="1">
      <alignment horizontal="center" vertical="center" wrapText="1"/>
    </xf>
    <xf numFmtId="3" fontId="51" fillId="0" borderId="10" xfId="68" applyNumberFormat="1" applyFont="1" applyFill="1" applyBorder="1" applyAlignment="1">
      <alignment vertical="center"/>
    </xf>
    <xf numFmtId="3" fontId="51" fillId="0" borderId="23" xfId="68" applyNumberFormat="1" applyFont="1" applyFill="1" applyBorder="1" applyAlignment="1">
      <alignment vertical="center"/>
    </xf>
    <xf numFmtId="3" fontId="22" fillId="29" borderId="19" xfId="31" applyNumberFormat="1" applyFont="1" applyFill="1" applyBorder="1" applyAlignment="1">
      <alignment horizontal="right" vertical="center"/>
    </xf>
    <xf numFmtId="3" fontId="51" fillId="0" borderId="24" xfId="68" applyNumberFormat="1" applyFont="1" applyFill="1" applyBorder="1" applyAlignment="1">
      <alignment vertical="center"/>
    </xf>
    <xf numFmtId="3" fontId="22" fillId="24" borderId="19" xfId="31" applyNumberFormat="1" applyFont="1" applyFill="1" applyBorder="1" applyAlignment="1">
      <alignment horizontal="right" vertical="center"/>
    </xf>
    <xf numFmtId="3" fontId="111" fillId="0" borderId="24" xfId="27" applyNumberFormat="1" applyFont="1" applyFill="1" applyBorder="1" applyAlignment="1">
      <alignment horizontal="right"/>
    </xf>
    <xf numFmtId="0" fontId="137" fillId="0" borderId="24" xfId="60" applyFont="1" applyFill="1" applyBorder="1" applyAlignment="1">
      <alignment horizontal="left"/>
    </xf>
    <xf numFmtId="0" fontId="67" fillId="0" borderId="0" xfId="65" applyFont="1" applyBorder="1" applyAlignment="1">
      <alignment horizontal="right" vertical="center"/>
    </xf>
    <xf numFmtId="167" fontId="50" fillId="0" borderId="24" xfId="55" applyNumberFormat="1" applyFont="1" applyFill="1" applyBorder="1" applyAlignment="1">
      <alignment vertical="center"/>
    </xf>
    <xf numFmtId="3" fontId="50" fillId="0" borderId="24" xfId="55" applyNumberFormat="1" applyFont="1" applyBorder="1"/>
    <xf numFmtId="0" fontId="50" fillId="0" borderId="18" xfId="55" applyFont="1" applyFill="1" applyBorder="1" applyAlignment="1">
      <alignment horizontal="center" vertical="center"/>
    </xf>
    <xf numFmtId="0" fontId="50" fillId="0" borderId="19" xfId="55" applyFont="1" applyFill="1" applyBorder="1" applyAlignment="1">
      <alignment horizontal="center" vertical="center" wrapText="1"/>
    </xf>
    <xf numFmtId="0" fontId="50" fillId="0" borderId="26" xfId="55" applyFont="1" applyFill="1" applyBorder="1" applyAlignment="1">
      <alignment vertical="center" wrapText="1"/>
    </xf>
    <xf numFmtId="0" fontId="51" fillId="0" borderId="27" xfId="55" applyFont="1" applyFill="1" applyBorder="1" applyAlignment="1">
      <alignment vertical="center" wrapText="1"/>
    </xf>
    <xf numFmtId="0" fontId="51" fillId="0" borderId="27" xfId="55" applyFont="1" applyFill="1" applyBorder="1" applyAlignment="1">
      <alignment vertical="center"/>
    </xf>
    <xf numFmtId="0" fontId="50" fillId="0" borderId="27" xfId="55" applyFont="1" applyFill="1" applyBorder="1" applyAlignment="1">
      <alignment horizontal="left" vertical="center"/>
    </xf>
    <xf numFmtId="0" fontId="50" fillId="24" borderId="27" xfId="55" applyFont="1" applyFill="1" applyBorder="1" applyAlignment="1">
      <alignment horizontal="left" vertical="center"/>
    </xf>
    <xf numFmtId="0" fontId="51" fillId="0" borderId="23" xfId="71" applyFont="1" applyBorder="1"/>
    <xf numFmtId="1" fontId="51" fillId="0" borderId="23" xfId="56" applyNumberFormat="1" applyFont="1" applyBorder="1"/>
    <xf numFmtId="169" fontId="23" fillId="0" borderId="23" xfId="32" applyNumberFormat="1" applyFont="1" applyBorder="1"/>
    <xf numFmtId="169" fontId="23" fillId="0" borderId="23" xfId="32" applyNumberFormat="1" applyFont="1" applyFill="1" applyBorder="1"/>
    <xf numFmtId="0" fontId="51" fillId="0" borderId="24" xfId="71" applyFont="1" applyBorder="1"/>
    <xf numFmtId="1" fontId="50" fillId="0" borderId="24" xfId="56" applyNumberFormat="1" applyFont="1" applyBorder="1"/>
    <xf numFmtId="169" fontId="23" fillId="0" borderId="24" xfId="56" applyNumberFormat="1" applyFont="1" applyBorder="1"/>
    <xf numFmtId="0" fontId="51" fillId="0" borderId="19" xfId="71" applyFont="1" applyBorder="1"/>
    <xf numFmtId="1" fontId="50" fillId="0" borderId="19" xfId="56" applyNumberFormat="1" applyFont="1" applyBorder="1"/>
    <xf numFmtId="169" fontId="50" fillId="0" borderId="19" xfId="32" applyNumberFormat="1" applyFont="1" applyBorder="1"/>
    <xf numFmtId="1" fontId="23" fillId="0" borderId="23" xfId="56" applyNumberFormat="1" applyFont="1" applyBorder="1"/>
    <xf numFmtId="169" fontId="23" fillId="0" borderId="23" xfId="56" applyNumberFormat="1" applyFont="1" applyBorder="1"/>
    <xf numFmtId="1" fontId="22" fillId="0" borderId="19" xfId="56" applyNumberFormat="1" applyFont="1" applyBorder="1"/>
    <xf numFmtId="169" fontId="22" fillId="0" borderId="19" xfId="56" applyNumberFormat="1" applyFont="1" applyBorder="1"/>
    <xf numFmtId="3" fontId="14" fillId="0" borderId="24" xfId="58" applyNumberFormat="1" applyFont="1" applyBorder="1" applyAlignment="1">
      <alignment vertical="center"/>
    </xf>
    <xf numFmtId="3" fontId="14" fillId="0" borderId="30" xfId="58" applyNumberFormat="1" applyFont="1" applyBorder="1" applyAlignment="1">
      <alignment horizontal="right" vertical="center" wrapText="1"/>
    </xf>
    <xf numFmtId="3" fontId="14" fillId="0" borderId="10" xfId="58" applyNumberFormat="1" applyFont="1" applyBorder="1" applyAlignment="1">
      <alignment horizontal="right" vertical="center"/>
    </xf>
    <xf numFmtId="3" fontId="70" fillId="0" borderId="10" xfId="58" applyNumberFormat="1" applyFont="1" applyBorder="1" applyAlignment="1">
      <alignment horizontal="right" vertical="center" wrapText="1"/>
    </xf>
    <xf numFmtId="3" fontId="14" fillId="0" borderId="19" xfId="58" applyNumberFormat="1" applyFont="1" applyBorder="1" applyAlignment="1">
      <alignment horizontal="right" vertical="center"/>
    </xf>
    <xf numFmtId="3" fontId="49" fillId="0" borderId="48" xfId="58" applyNumberFormat="1" applyFont="1" applyBorder="1" applyAlignment="1">
      <alignment horizontal="right" vertical="center" wrapText="1"/>
    </xf>
    <xf numFmtId="0" fontId="14" fillId="0" borderId="18" xfId="58" applyFont="1" applyBorder="1" applyAlignment="1">
      <alignment horizontal="center" vertical="center"/>
    </xf>
    <xf numFmtId="0" fontId="14" fillId="0" borderId="19" xfId="58" applyFont="1" applyBorder="1" applyAlignment="1">
      <alignment horizontal="center" vertical="center" wrapText="1"/>
    </xf>
    <xf numFmtId="0" fontId="14" fillId="0" borderId="19" xfId="58" applyFont="1" applyBorder="1" applyAlignment="1">
      <alignment horizontal="center" vertical="center"/>
    </xf>
    <xf numFmtId="0" fontId="14" fillId="0" borderId="17" xfId="58" applyFont="1" applyBorder="1" applyAlignment="1">
      <alignment horizontal="center" vertical="center" wrapText="1"/>
    </xf>
    <xf numFmtId="0" fontId="18" fillId="0" borderId="0" xfId="47" applyFont="1" applyAlignment="1">
      <alignment horizontal="right" wrapText="1"/>
    </xf>
    <xf numFmtId="0" fontId="19" fillId="0" borderId="0" xfId="47" applyFont="1" applyAlignment="1">
      <alignment horizontal="right"/>
    </xf>
    <xf numFmtId="3" fontId="19" fillId="0" borderId="50" xfId="64" applyNumberFormat="1" applyFont="1" applyFill="1" applyBorder="1" applyAlignment="1">
      <alignment horizontal="center" vertical="center" wrapText="1"/>
    </xf>
    <xf numFmtId="3" fontId="14" fillId="0" borderId="17" xfId="64" applyNumberFormat="1" applyFont="1" applyFill="1" applyBorder="1" applyAlignment="1">
      <alignment horizontal="center" vertical="center"/>
    </xf>
    <xf numFmtId="3" fontId="23" fillId="0" borderId="24" xfId="79" applyNumberFormat="1" applyFont="1" applyBorder="1" applyAlignment="1">
      <alignment horizontal="right"/>
    </xf>
    <xf numFmtId="3" fontId="23" fillId="0" borderId="10" xfId="79" applyNumberFormat="1" applyFont="1" applyBorder="1" applyAlignment="1">
      <alignment horizontal="right"/>
    </xf>
    <xf numFmtId="3" fontId="50" fillId="26" borderId="10" xfId="79" applyNumberFormat="1" applyFont="1" applyFill="1" applyBorder="1" applyAlignment="1">
      <alignment horizontal="right"/>
    </xf>
    <xf numFmtId="3" fontId="50" fillId="24" borderId="10" xfId="79" applyNumberFormat="1" applyFont="1" applyFill="1" applyBorder="1" applyAlignment="1">
      <alignment horizontal="right"/>
    </xf>
    <xf numFmtId="3" fontId="22" fillId="0" borderId="10" xfId="79" applyNumberFormat="1" applyFont="1" applyFill="1" applyBorder="1" applyAlignment="1">
      <alignment horizontal="right" vertical="center"/>
    </xf>
    <xf numFmtId="3" fontId="50" fillId="24" borderId="23" xfId="79" applyNumberFormat="1" applyFont="1" applyFill="1" applyBorder="1" applyAlignment="1">
      <alignment horizontal="right"/>
    </xf>
    <xf numFmtId="3" fontId="50" fillId="27" borderId="19" xfId="79" applyNumberFormat="1" applyFont="1" applyFill="1" applyBorder="1" applyAlignment="1">
      <alignment horizontal="right"/>
    </xf>
    <xf numFmtId="3" fontId="50" fillId="28" borderId="10" xfId="79" applyNumberFormat="1" applyFont="1" applyFill="1" applyBorder="1" applyAlignment="1">
      <alignment horizontal="right" vertical="center"/>
    </xf>
    <xf numFmtId="3" fontId="50" fillId="0" borderId="10" xfId="79" applyNumberFormat="1" applyFont="1" applyBorder="1" applyAlignment="1">
      <alignment horizontal="right"/>
    </xf>
    <xf numFmtId="0" fontId="18" fillId="0" borderId="19" xfId="79" applyFont="1" applyBorder="1" applyAlignment="1">
      <alignment horizontal="center" vertical="center" wrapText="1"/>
    </xf>
    <xf numFmtId="0" fontId="50" fillId="0" borderId="0" xfId="46" applyFont="1" applyAlignment="1">
      <alignment horizontal="center"/>
    </xf>
    <xf numFmtId="0" fontId="50" fillId="0" borderId="0" xfId="0" applyFont="1" applyAlignment="1">
      <alignment horizontal="center" vertical="center"/>
    </xf>
    <xf numFmtId="0" fontId="50" fillId="0" borderId="0" xfId="0" applyFont="1" applyAlignment="1">
      <alignment horizontal="center"/>
    </xf>
    <xf numFmtId="0" fontId="0" fillId="0" borderId="0" xfId="0" applyAlignment="1"/>
    <xf numFmtId="0" fontId="50" fillId="0" borderId="0" xfId="46" applyFont="1" applyAlignment="1">
      <alignment horizontal="center"/>
    </xf>
    <xf numFmtId="0" fontId="23" fillId="0" borderId="0" xfId="0" applyFont="1" applyAlignment="1"/>
    <xf numFmtId="0" fontId="50" fillId="0" borderId="0" xfId="0" applyFont="1" applyAlignment="1">
      <alignment horizontal="center" vertical="center"/>
    </xf>
    <xf numFmtId="0" fontId="50" fillId="0" borderId="0" xfId="0" applyFont="1" applyAlignment="1">
      <alignment horizontal="center"/>
    </xf>
    <xf numFmtId="0" fontId="50" fillId="0" borderId="0" xfId="46" applyFont="1" applyAlignment="1">
      <alignment horizontal="center" wrapText="1"/>
    </xf>
    <xf numFmtId="0" fontId="0" fillId="0" borderId="0" xfId="0" applyAlignment="1">
      <alignment wrapText="1"/>
    </xf>
    <xf numFmtId="0" fontId="21" fillId="0" borderId="0" xfId="0" applyFont="1" applyAlignment="1">
      <alignment horizontal="center"/>
    </xf>
    <xf numFmtId="0" fontId="0" fillId="0" borderId="0" xfId="0" applyAlignment="1">
      <alignment vertical="center"/>
    </xf>
    <xf numFmtId="0" fontId="92" fillId="0" borderId="0" xfId="59" applyFont="1" applyBorder="1" applyAlignment="1">
      <alignment horizontal="center" wrapText="1"/>
    </xf>
    <xf numFmtId="3" fontId="93" fillId="0" borderId="0" xfId="50" applyNumberFormat="1" applyFont="1" applyBorder="1"/>
    <xf numFmtId="0" fontId="23" fillId="0" borderId="0" xfId="46" applyFont="1" applyAlignment="1">
      <alignment horizontal="right"/>
    </xf>
    <xf numFmtId="3" fontId="56" fillId="25" borderId="0" xfId="0" applyNumberFormat="1" applyFont="1" applyFill="1"/>
    <xf numFmtId="0" fontId="0" fillId="0" borderId="0" xfId="0" applyAlignment="1"/>
    <xf numFmtId="0" fontId="21" fillId="0" borderId="0" xfId="0" applyFont="1" applyAlignment="1">
      <alignment horizontal="center"/>
    </xf>
    <xf numFmtId="0" fontId="23" fillId="0" borderId="0" xfId="46" applyFont="1" applyAlignment="1">
      <alignment horizontal="center" wrapText="1"/>
    </xf>
    <xf numFmtId="0" fontId="67" fillId="0" borderId="0" xfId="68" applyFont="1" applyAlignment="1">
      <alignment horizontal="center"/>
    </xf>
    <xf numFmtId="0" fontId="50" fillId="0" borderId="0" xfId="46" applyFont="1" applyAlignment="1">
      <alignment horizontal="center"/>
    </xf>
    <xf numFmtId="0" fontId="61" fillId="0" borderId="58" xfId="46" applyFont="1" applyBorder="1" applyAlignment="1">
      <alignment horizontal="center" vertical="center" wrapText="1"/>
    </xf>
    <xf numFmtId="3" fontId="57" fillId="24" borderId="17" xfId="0" applyNumberFormat="1" applyFont="1" applyFill="1" applyBorder="1" applyAlignment="1">
      <alignment horizontal="right" vertical="center"/>
    </xf>
    <xf numFmtId="0" fontId="14" fillId="0" borderId="18" xfId="68" applyFont="1" applyBorder="1" applyAlignment="1">
      <alignment horizontal="center" vertical="center"/>
    </xf>
    <xf numFmtId="0" fontId="18" fillId="0" borderId="49" xfId="0" applyFont="1" applyFill="1" applyBorder="1" applyAlignment="1">
      <alignment horizontal="left" vertical="center" wrapText="1"/>
    </xf>
    <xf numFmtId="168" fontId="21" fillId="0" borderId="0" xfId="68" applyNumberFormat="1" applyFont="1" applyBorder="1" applyAlignment="1">
      <alignment horizontal="center" vertical="center" wrapText="1"/>
    </xf>
    <xf numFmtId="0" fontId="50" fillId="0" borderId="0" xfId="69" applyFont="1" applyBorder="1" applyAlignment="1">
      <alignment horizontal="center" wrapText="1"/>
    </xf>
    <xf numFmtId="0" fontId="14" fillId="0" borderId="10" xfId="46" applyFont="1" applyFill="1" applyBorder="1" applyAlignment="1">
      <alignment horizontal="center" vertical="center" wrapText="1"/>
    </xf>
    <xf numFmtId="0" fontId="67" fillId="35" borderId="0" xfId="0" applyFont="1" applyFill="1"/>
    <xf numFmtId="0" fontId="0" fillId="0" borderId="0" xfId="0" applyAlignment="1"/>
    <xf numFmtId="3" fontId="93" fillId="0" borderId="0" xfId="0" applyNumberFormat="1" applyFont="1" applyBorder="1" applyAlignment="1">
      <alignment horizontal="right" vertical="center"/>
    </xf>
    <xf numFmtId="3" fontId="93" fillId="0" borderId="0" xfId="0" applyNumberFormat="1" applyFont="1" applyFill="1" applyBorder="1" applyAlignment="1">
      <alignment horizontal="right" vertical="center"/>
    </xf>
    <xf numFmtId="3" fontId="57" fillId="0" borderId="0" xfId="0" applyNumberFormat="1" applyFont="1" applyFill="1" applyBorder="1" applyAlignment="1">
      <alignment horizontal="right" vertical="center"/>
    </xf>
    <xf numFmtId="0" fontId="50" fillId="28" borderId="0" xfId="0" applyFont="1" applyFill="1" applyBorder="1" applyAlignment="1">
      <alignment horizontal="left"/>
    </xf>
    <xf numFmtId="3" fontId="23" fillId="0" borderId="0" xfId="46" applyNumberFormat="1" applyFont="1" applyAlignment="1">
      <alignment horizontal="center"/>
    </xf>
    <xf numFmtId="3" fontId="23" fillId="0" borderId="0" xfId="0" applyNumberFormat="1" applyFont="1"/>
    <xf numFmtId="0" fontId="50" fillId="0" borderId="0" xfId="46" applyFont="1" applyFill="1" applyBorder="1" applyAlignment="1">
      <alignment horizontal="center" vertical="center" wrapText="1"/>
    </xf>
    <xf numFmtId="3" fontId="104" fillId="0" borderId="0" xfId="46" applyNumberFormat="1" applyFont="1" applyFill="1" applyBorder="1" applyAlignment="1">
      <alignment horizontal="right" vertical="center" wrapText="1"/>
    </xf>
    <xf numFmtId="1" fontId="93" fillId="0" borderId="0" xfId="0" applyNumberFormat="1" applyFont="1" applyFill="1" applyBorder="1" applyAlignment="1">
      <alignment horizontal="right" vertical="center"/>
    </xf>
    <xf numFmtId="3" fontId="67" fillId="0" borderId="33" xfId="0" applyNumberFormat="1" applyFont="1" applyBorder="1" applyAlignment="1">
      <alignment horizontal="right" vertical="center"/>
    </xf>
    <xf numFmtId="0" fontId="59" fillId="0" borderId="33" xfId="0" applyFont="1" applyFill="1" applyBorder="1" applyAlignment="1">
      <alignment horizontal="left" vertical="center" wrapText="1"/>
    </xf>
    <xf numFmtId="0" fontId="64" fillId="0" borderId="0" xfId="46" applyFont="1"/>
    <xf numFmtId="3" fontId="139" fillId="29" borderId="10" xfId="0" applyNumberFormat="1" applyFont="1" applyFill="1" applyBorder="1" applyAlignment="1">
      <alignment horizontal="right"/>
    </xf>
    <xf numFmtId="3" fontId="138" fillId="0" borderId="10" xfId="0" applyNumberFormat="1" applyFont="1" applyFill="1" applyBorder="1" applyAlignment="1">
      <alignment horizontal="right"/>
    </xf>
    <xf numFmtId="3" fontId="139" fillId="29" borderId="23" xfId="0" applyNumberFormat="1" applyFont="1" applyFill="1" applyBorder="1" applyAlignment="1">
      <alignment horizontal="right"/>
    </xf>
    <xf numFmtId="3" fontId="139" fillId="24" borderId="19" xfId="0" applyNumberFormat="1" applyFont="1" applyFill="1" applyBorder="1" applyAlignment="1">
      <alignment horizontal="right"/>
    </xf>
    <xf numFmtId="0" fontId="56" fillId="0" borderId="0" xfId="0" applyFont="1" applyAlignment="1">
      <alignment horizontal="center" vertical="center"/>
    </xf>
    <xf numFmtId="0" fontId="108" fillId="0" borderId="10" xfId="68" applyFont="1" applyFill="1" applyBorder="1" applyAlignment="1">
      <alignment horizontal="left" vertical="center" wrapText="1"/>
    </xf>
    <xf numFmtId="0" fontId="108" fillId="0" borderId="10" xfId="68" applyFont="1" applyFill="1" applyBorder="1" applyAlignment="1">
      <alignment horizontal="left" vertical="center"/>
    </xf>
    <xf numFmtId="0" fontId="109" fillId="29" borderId="10" xfId="0" applyFont="1" applyFill="1" applyBorder="1" applyAlignment="1">
      <alignment horizontal="left" vertical="center" wrapText="1"/>
    </xf>
    <xf numFmtId="0" fontId="109" fillId="29" borderId="23" xfId="0" applyFont="1" applyFill="1" applyBorder="1" applyAlignment="1">
      <alignment horizontal="left" vertical="center" wrapText="1"/>
    </xf>
    <xf numFmtId="0" fontId="109" fillId="24" borderId="19" xfId="0" applyFont="1" applyFill="1" applyBorder="1" applyAlignment="1">
      <alignment horizontal="left" vertical="center" wrapText="1"/>
    </xf>
    <xf numFmtId="3" fontId="50" fillId="0" borderId="0" xfId="46" applyNumberFormat="1" applyFont="1"/>
    <xf numFmtId="0" fontId="93" fillId="0" borderId="0" xfId="46" applyFont="1"/>
    <xf numFmtId="3" fontId="67" fillId="0" borderId="24" xfId="47" applyNumberFormat="1" applyFont="1" applyFill="1" applyBorder="1" applyAlignment="1">
      <alignment horizontal="right" vertical="center" wrapText="1"/>
    </xf>
    <xf numFmtId="3" fontId="93" fillId="0" borderId="10" xfId="0" applyNumberFormat="1" applyFont="1" applyBorder="1" applyAlignment="1">
      <alignment horizontal="right"/>
    </xf>
    <xf numFmtId="3" fontId="92" fillId="0" borderId="10" xfId="0" applyNumberFormat="1" applyFont="1" applyBorder="1" applyAlignment="1">
      <alignment horizontal="right"/>
    </xf>
    <xf numFmtId="3" fontId="92" fillId="0" borderId="19" xfId="0" applyNumberFormat="1" applyFont="1" applyBorder="1" applyAlignment="1">
      <alignment horizontal="right"/>
    </xf>
    <xf numFmtId="3" fontId="93" fillId="0" borderId="33" xfId="0" applyNumberFormat="1" applyFont="1" applyBorder="1" applyAlignment="1">
      <alignment horizontal="right"/>
    </xf>
    <xf numFmtId="3" fontId="93" fillId="0" borderId="24" xfId="0" applyNumberFormat="1" applyFont="1" applyBorder="1" applyAlignment="1">
      <alignment horizontal="right"/>
    </xf>
    <xf numFmtId="3" fontId="92" fillId="0" borderId="23" xfId="0" applyNumberFormat="1" applyFont="1" applyBorder="1" applyAlignment="1">
      <alignment horizontal="right"/>
    </xf>
    <xf numFmtId="3" fontId="117" fillId="0" borderId="0" xfId="55" applyNumberFormat="1"/>
    <xf numFmtId="3" fontId="66" fillId="0" borderId="0" xfId="46" applyNumberFormat="1" applyFont="1"/>
    <xf numFmtId="0" fontId="21" fillId="0" borderId="0" xfId="0" applyFont="1"/>
    <xf numFmtId="3" fontId="70" fillId="0" borderId="0" xfId="77" applyNumberFormat="1" applyFont="1" applyBorder="1" applyAlignment="1">
      <alignment horizontal="right" vertical="center"/>
    </xf>
    <xf numFmtId="3" fontId="14" fillId="31" borderId="0" xfId="77" applyNumberFormat="1" applyFont="1" applyFill="1" applyBorder="1" applyAlignment="1">
      <alignment horizontal="right" vertical="center"/>
    </xf>
    <xf numFmtId="0" fontId="15" fillId="0" borderId="0" xfId="77" applyFont="1" applyBorder="1"/>
    <xf numFmtId="0" fontId="15" fillId="0" borderId="0" xfId="77" applyFont="1" applyBorder="1" applyAlignment="1">
      <alignment horizontal="center" vertical="justify"/>
    </xf>
    <xf numFmtId="3" fontId="19" fillId="0" borderId="0" xfId="77" applyNumberFormat="1" applyFont="1" applyFill="1" applyBorder="1" applyAlignment="1">
      <alignment horizontal="right" vertical="center"/>
    </xf>
    <xf numFmtId="3" fontId="14" fillId="0" borderId="0" xfId="77" applyNumberFormat="1" applyFont="1" applyFill="1" applyBorder="1" applyAlignment="1">
      <alignment horizontal="right" vertical="center"/>
    </xf>
    <xf numFmtId="0" fontId="14" fillId="0" borderId="24" xfId="77" applyFont="1" applyFill="1" applyBorder="1" applyAlignment="1">
      <alignment vertical="center" wrapText="1"/>
    </xf>
    <xf numFmtId="0" fontId="65" fillId="0" borderId="10" xfId="77" applyFont="1" applyBorder="1" applyAlignment="1">
      <alignment horizontal="center" vertical="center" wrapText="1"/>
    </xf>
    <xf numFmtId="0" fontId="19" fillId="0" borderId="40" xfId="77" applyFont="1" applyBorder="1" applyAlignment="1">
      <alignment horizontal="center" vertical="center" wrapText="1"/>
    </xf>
    <xf numFmtId="0" fontId="143" fillId="0" borderId="0" xfId="77" applyFont="1"/>
    <xf numFmtId="0" fontId="23" fillId="0" borderId="0" xfId="0" applyFont="1" applyFill="1"/>
    <xf numFmtId="0" fontId="131" fillId="0" borderId="0" xfId="0" applyFont="1" applyAlignment="1">
      <alignment horizontal="center"/>
    </xf>
    <xf numFmtId="0" fontId="144" fillId="0" borderId="0" xfId="0" applyFont="1" applyAlignment="1"/>
    <xf numFmtId="0" fontId="143" fillId="0" borderId="0" xfId="0" applyFont="1"/>
    <xf numFmtId="3" fontId="18" fillId="0" borderId="43" xfId="46" applyNumberFormat="1" applyFont="1" applyFill="1" applyBorder="1"/>
    <xf numFmtId="9" fontId="20" fillId="0" borderId="0" xfId="46" applyNumberFormat="1" applyFont="1"/>
    <xf numFmtId="3" fontId="20" fillId="0" borderId="0" xfId="0" applyNumberFormat="1" applyFont="1"/>
    <xf numFmtId="0" fontId="57" fillId="0" borderId="10" xfId="47" applyFont="1" applyBorder="1" applyAlignment="1">
      <alignment horizontal="center" vertical="center" wrapText="1" shrinkToFit="1"/>
    </xf>
    <xf numFmtId="0" fontId="80" fillId="0" borderId="0" xfId="59" applyFont="1" applyBorder="1" applyAlignment="1">
      <alignment vertical="center"/>
    </xf>
    <xf numFmtId="0" fontId="67" fillId="0" borderId="10" xfId="47" applyFont="1" applyBorder="1" applyAlignment="1">
      <alignment vertical="center"/>
    </xf>
    <xf numFmtId="0" fontId="67" fillId="0" borderId="0" xfId="59" applyFont="1" applyBorder="1" applyAlignment="1">
      <alignment vertical="center"/>
    </xf>
    <xf numFmtId="0" fontId="56" fillId="0" borderId="0" xfId="59" applyFont="1" applyBorder="1" applyAlignment="1">
      <alignment vertical="center"/>
    </xf>
    <xf numFmtId="0" fontId="13" fillId="0" borderId="0" xfId="59" applyBorder="1" applyAlignment="1">
      <alignment vertical="center"/>
    </xf>
    <xf numFmtId="0" fontId="13" fillId="0" borderId="0" xfId="59" applyAlignment="1">
      <alignment vertical="center"/>
    </xf>
    <xf numFmtId="0" fontId="92" fillId="0" borderId="0" xfId="59" applyFont="1" applyBorder="1" applyAlignment="1">
      <alignment vertical="center" wrapText="1"/>
    </xf>
    <xf numFmtId="0" fontId="57" fillId="0" borderId="10" xfId="47" applyFont="1" applyBorder="1" applyAlignment="1">
      <alignment horizontal="center" vertical="center" wrapText="1"/>
    </xf>
    <xf numFmtId="2" fontId="57" fillId="0" borderId="10" xfId="47" applyNumberFormat="1" applyFont="1" applyBorder="1" applyAlignment="1">
      <alignment horizontal="right" vertical="center"/>
    </xf>
    <xf numFmtId="0" fontId="67" fillId="0" borderId="0" xfId="47" applyFont="1" applyAlignment="1">
      <alignment horizontal="right" vertical="center"/>
    </xf>
    <xf numFmtId="0" fontId="53" fillId="0" borderId="0" xfId="59" applyFont="1" applyBorder="1" applyAlignment="1">
      <alignment horizontal="right" vertical="center"/>
    </xf>
    <xf numFmtId="0" fontId="57" fillId="0" borderId="10" xfId="47" applyFont="1" applyBorder="1" applyAlignment="1">
      <alignment horizontal="left" vertical="center"/>
    </xf>
    <xf numFmtId="0" fontId="67" fillId="0" borderId="10" xfId="47" applyFont="1" applyFill="1" applyBorder="1" applyAlignment="1">
      <alignment vertical="center" wrapText="1"/>
    </xf>
    <xf numFmtId="0" fontId="67" fillId="0" borderId="10" xfId="47" applyFont="1" applyFill="1" applyBorder="1" applyAlignment="1">
      <alignment horizontal="right" vertical="center" wrapText="1"/>
    </xf>
    <xf numFmtId="0" fontId="67" fillId="0" borderId="10" xfId="47" applyFont="1" applyFill="1" applyBorder="1" applyAlignment="1">
      <alignment horizontal="left" vertical="center"/>
    </xf>
    <xf numFmtId="0" fontId="57" fillId="0" borderId="10" xfId="47" applyFont="1" applyFill="1" applyBorder="1" applyAlignment="1">
      <alignment horizontal="left" vertical="center"/>
    </xf>
    <xf numFmtId="0" fontId="131" fillId="0" borderId="0" xfId="46" applyFont="1" applyAlignment="1">
      <alignment horizontal="center"/>
    </xf>
    <xf numFmtId="0" fontId="125" fillId="0" borderId="0" xfId="46" applyFont="1"/>
    <xf numFmtId="0" fontId="146" fillId="0" borderId="0" xfId="0" applyFont="1" applyAlignment="1"/>
    <xf numFmtId="0" fontId="19" fillId="0" borderId="0" xfId="77" applyFont="1" applyBorder="1"/>
    <xf numFmtId="170" fontId="19" fillId="0" borderId="24" xfId="83" applyNumberFormat="1" applyFont="1" applyFill="1" applyBorder="1" applyAlignment="1">
      <alignment horizontal="right" vertical="center" wrapText="1"/>
    </xf>
    <xf numFmtId="170" fontId="14" fillId="0" borderId="24" xfId="83" applyNumberFormat="1" applyFont="1" applyFill="1" applyBorder="1" applyAlignment="1">
      <alignment horizontal="right" vertical="center" wrapText="1"/>
    </xf>
    <xf numFmtId="3" fontId="14" fillId="31" borderId="23" xfId="77" applyNumberFormat="1" applyFont="1" applyFill="1" applyBorder="1" applyAlignment="1">
      <alignment horizontal="right" vertical="center"/>
    </xf>
    <xf numFmtId="3" fontId="14" fillId="0" borderId="10" xfId="77" applyNumberFormat="1" applyFont="1" applyBorder="1" applyAlignment="1">
      <alignment horizontal="right" vertical="center"/>
    </xf>
    <xf numFmtId="3" fontId="19" fillId="0" borderId="10" xfId="77" applyNumberFormat="1" applyFont="1" applyBorder="1" applyAlignment="1">
      <alignment horizontal="right" vertical="center"/>
    </xf>
    <xf numFmtId="3" fontId="70" fillId="0" borderId="10" xfId="77" applyNumberFormat="1" applyFont="1" applyBorder="1" applyAlignment="1">
      <alignment horizontal="right" vertical="center"/>
    </xf>
    <xf numFmtId="3" fontId="19" fillId="0" borderId="10" xfId="77" applyNumberFormat="1" applyFont="1" applyFill="1" applyBorder="1" applyAlignment="1">
      <alignment horizontal="right" vertical="center"/>
    </xf>
    <xf numFmtId="0" fontId="23" fillId="0" borderId="0" xfId="46" applyFont="1" applyAlignment="1">
      <alignment horizontal="right" wrapText="1"/>
    </xf>
    <xf numFmtId="3" fontId="16" fillId="0" borderId="0" xfId="0" applyNumberFormat="1" applyFont="1" applyFill="1" applyBorder="1" applyAlignment="1">
      <alignment horizontal="left" vertical="center"/>
    </xf>
    <xf numFmtId="3" fontId="57" fillId="0" borderId="24" xfId="47" applyNumberFormat="1" applyFont="1" applyFill="1" applyBorder="1" applyAlignment="1">
      <alignment horizontal="right" vertical="center" wrapText="1"/>
    </xf>
    <xf numFmtId="0" fontId="20" fillId="0" borderId="0" xfId="0" applyFont="1" applyAlignment="1">
      <alignment vertical="center"/>
    </xf>
    <xf numFmtId="3" fontId="20" fillId="0" borderId="0" xfId="0" applyNumberFormat="1" applyFont="1" applyAlignment="1">
      <alignment vertical="center"/>
    </xf>
    <xf numFmtId="3" fontId="93" fillId="34" borderId="10" xfId="0" applyNumberFormat="1" applyFont="1" applyFill="1" applyBorder="1" applyAlignment="1">
      <alignment horizontal="right" vertical="center"/>
    </xf>
    <xf numFmtId="0" fontId="67" fillId="0" borderId="0" xfId="47" applyFont="1" applyFill="1" applyAlignment="1">
      <alignment vertical="center"/>
    </xf>
    <xf numFmtId="0" fontId="67" fillId="0" borderId="0" xfId="47" applyFont="1" applyAlignment="1">
      <alignment horizontal="center" vertical="center"/>
    </xf>
    <xf numFmtId="3" fontId="57" fillId="0" borderId="0" xfId="47" applyNumberFormat="1" applyFont="1" applyFill="1" applyAlignment="1">
      <alignment horizontal="center" vertical="center"/>
    </xf>
    <xf numFmtId="3" fontId="67" fillId="0" borderId="0" xfId="47" applyNumberFormat="1" applyFont="1" applyAlignment="1">
      <alignment horizontal="right" vertical="center"/>
    </xf>
    <xf numFmtId="0" fontId="67" fillId="33" borderId="0" xfId="47" applyFont="1" applyFill="1"/>
    <xf numFmtId="0" fontId="107" fillId="33" borderId="0" xfId="0" applyFont="1" applyFill="1"/>
    <xf numFmtId="0" fontId="67" fillId="33" borderId="0" xfId="0" applyFont="1" applyFill="1"/>
    <xf numFmtId="0" fontId="57" fillId="36" borderId="10" xfId="47" applyFont="1" applyFill="1" applyBorder="1" applyAlignment="1">
      <alignment horizontal="center" vertical="center"/>
    </xf>
    <xf numFmtId="3" fontId="57" fillId="36" borderId="10" xfId="47" applyNumberFormat="1" applyFont="1" applyFill="1" applyBorder="1" applyAlignment="1">
      <alignment horizontal="center" vertical="center"/>
    </xf>
    <xf numFmtId="0" fontId="57" fillId="29" borderId="34" xfId="47" applyFont="1" applyFill="1" applyBorder="1" applyAlignment="1">
      <alignment vertical="center"/>
    </xf>
    <xf numFmtId="0" fontId="57" fillId="29" borderId="35" xfId="47" applyFont="1" applyFill="1" applyBorder="1" applyAlignment="1">
      <alignment horizontal="center" vertical="center"/>
    </xf>
    <xf numFmtId="3" fontId="57" fillId="29" borderId="35" xfId="47" applyNumberFormat="1" applyFont="1" applyFill="1" applyBorder="1" applyAlignment="1">
      <alignment horizontal="center" vertical="center"/>
    </xf>
    <xf numFmtId="0" fontId="57" fillId="29" borderId="36" xfId="47" applyFont="1" applyFill="1" applyBorder="1" applyAlignment="1">
      <alignment horizontal="justify" vertical="center"/>
    </xf>
    <xf numFmtId="0" fontId="67" fillId="29" borderId="36" xfId="47" applyFont="1" applyFill="1" applyBorder="1" applyAlignment="1">
      <alignment horizontal="justify" vertical="center"/>
    </xf>
    <xf numFmtId="0" fontId="92" fillId="0" borderId="18" xfId="47" applyFont="1" applyFill="1" applyBorder="1" applyAlignment="1">
      <alignment vertical="center" wrapText="1"/>
    </xf>
    <xf numFmtId="0" fontId="67" fillId="0" borderId="26" xfId="47" applyFont="1" applyFill="1" applyBorder="1" applyAlignment="1">
      <alignment vertical="center"/>
    </xf>
    <xf numFmtId="0" fontId="67" fillId="0" borderId="24" xfId="47" applyFont="1" applyFill="1" applyBorder="1" applyAlignment="1">
      <alignment horizontal="center" vertical="center" wrapText="1"/>
    </xf>
    <xf numFmtId="3" fontId="67" fillId="0" borderId="24" xfId="47" applyNumberFormat="1" applyFont="1" applyBorder="1" applyAlignment="1">
      <alignment horizontal="center" vertical="center" wrapText="1"/>
    </xf>
    <xf numFmtId="0" fontId="67" fillId="0" borderId="30" xfId="47" applyFont="1" applyFill="1" applyBorder="1" applyAlignment="1">
      <alignment horizontal="justify" vertical="center" wrapText="1"/>
    </xf>
    <xf numFmtId="0" fontId="93" fillId="0" borderId="27" xfId="47" applyFont="1" applyFill="1" applyBorder="1" applyAlignment="1">
      <alignment vertical="center" wrapText="1"/>
    </xf>
    <xf numFmtId="0" fontId="67" fillId="0" borderId="10" xfId="47" applyFont="1" applyFill="1" applyBorder="1" applyAlignment="1">
      <alignment horizontal="center" vertical="center" wrapText="1"/>
    </xf>
    <xf numFmtId="3" fontId="67" fillId="0" borderId="10" xfId="47" applyNumberFormat="1" applyFont="1" applyBorder="1" applyAlignment="1">
      <alignment horizontal="center" vertical="center" wrapText="1"/>
    </xf>
    <xf numFmtId="0" fontId="67" fillId="0" borderId="28" xfId="47" applyFont="1" applyFill="1" applyBorder="1" applyAlignment="1">
      <alignment horizontal="justify" vertical="center" wrapText="1"/>
    </xf>
    <xf numFmtId="0" fontId="67" fillId="0" borderId="31" xfId="47" applyFont="1" applyFill="1" applyBorder="1" applyAlignment="1">
      <alignment vertical="center"/>
    </xf>
    <xf numFmtId="0" fontId="67" fillId="0" borderId="23" xfId="47" applyFont="1" applyFill="1" applyBorder="1" applyAlignment="1">
      <alignment horizontal="center" vertical="center"/>
    </xf>
    <xf numFmtId="3" fontId="67" fillId="0" borderId="23" xfId="47" applyNumberFormat="1" applyFont="1" applyFill="1" applyBorder="1" applyAlignment="1">
      <alignment horizontal="center" vertical="center"/>
    </xf>
    <xf numFmtId="0" fontId="67" fillId="0" borderId="29" xfId="47" applyFont="1" applyFill="1" applyBorder="1" applyAlignment="1">
      <alignment horizontal="justify" vertical="center" wrapText="1"/>
    </xf>
    <xf numFmtId="0" fontId="57" fillId="0" borderId="34" xfId="47" applyFont="1" applyFill="1" applyBorder="1" applyAlignment="1">
      <alignment vertical="center"/>
    </xf>
    <xf numFmtId="0" fontId="67" fillId="0" borderId="35" xfId="47" applyFont="1" applyFill="1" applyBorder="1" applyAlignment="1">
      <alignment horizontal="center" vertical="center"/>
    </xf>
    <xf numFmtId="3" fontId="67" fillId="0" borderId="35" xfId="47" applyNumberFormat="1" applyFont="1" applyFill="1" applyBorder="1" applyAlignment="1">
      <alignment horizontal="center" vertical="center"/>
    </xf>
    <xf numFmtId="0" fontId="57" fillId="0" borderId="36" xfId="47" applyFont="1" applyFill="1" applyBorder="1" applyAlignment="1">
      <alignment horizontal="justify" vertical="center"/>
    </xf>
    <xf numFmtId="0" fontId="67" fillId="0" borderId="0" xfId="47" applyFont="1" applyFill="1" applyBorder="1" applyAlignment="1">
      <alignment vertical="center"/>
    </xf>
    <xf numFmtId="0" fontId="67" fillId="0" borderId="0" xfId="47" applyFont="1" applyBorder="1" applyAlignment="1">
      <alignment horizontal="center" vertical="center"/>
    </xf>
    <xf numFmtId="3" fontId="67" fillId="0" borderId="0" xfId="47" applyNumberFormat="1" applyFont="1" applyBorder="1" applyAlignment="1">
      <alignment horizontal="right" vertical="center"/>
    </xf>
    <xf numFmtId="0" fontId="67" fillId="0" borderId="0" xfId="47" applyFont="1" applyBorder="1" applyAlignment="1">
      <alignment horizontal="justify" vertical="center"/>
    </xf>
    <xf numFmtId="0" fontId="57" fillId="0" borderId="0" xfId="47" applyFont="1" applyFill="1" applyAlignment="1">
      <alignment vertical="center"/>
    </xf>
    <xf numFmtId="0" fontId="67" fillId="0" borderId="0" xfId="47" applyFont="1" applyAlignment="1">
      <alignment horizontal="justify" vertical="center"/>
    </xf>
    <xf numFmtId="3" fontId="77" fillId="0" borderId="0" xfId="58" applyNumberFormat="1" applyFont="1" applyBorder="1" applyAlignment="1">
      <alignment vertical="center"/>
    </xf>
    <xf numFmtId="0" fontId="14" fillId="0" borderId="10" xfId="77" applyFont="1" applyBorder="1" applyAlignment="1">
      <alignment horizontal="justify" vertical="center" wrapText="1"/>
    </xf>
    <xf numFmtId="0" fontId="14" fillId="0" borderId="23" xfId="77" applyFont="1" applyBorder="1" applyAlignment="1">
      <alignment horizontal="center" vertical="center" wrapText="1"/>
    </xf>
    <xf numFmtId="0" fontId="14" fillId="0" borderId="38" xfId="77" applyFont="1" applyBorder="1" applyAlignment="1">
      <alignment horizontal="center" vertical="center" wrapText="1"/>
    </xf>
    <xf numFmtId="0" fontId="14" fillId="0" borderId="23" xfId="77" applyFont="1" applyBorder="1" applyAlignment="1">
      <alignment horizontal="justify" vertical="center" wrapText="1"/>
    </xf>
    <xf numFmtId="0" fontId="14" fillId="0" borderId="16" xfId="77" applyFont="1" applyBorder="1" applyAlignment="1">
      <alignment horizontal="justify" vertical="center" wrapText="1"/>
    </xf>
    <xf numFmtId="0" fontId="14" fillId="0" borderId="38" xfId="77" applyFont="1" applyBorder="1" applyAlignment="1">
      <alignment horizontal="justify" vertical="center" wrapText="1"/>
    </xf>
    <xf numFmtId="0" fontId="82" fillId="0" borderId="27" xfId="84" applyFont="1" applyFill="1" applyBorder="1" applyAlignment="1">
      <alignment horizontal="left" vertical="center"/>
    </xf>
    <xf numFmtId="0" fontId="51" fillId="0" borderId="0" xfId="0" applyFont="1" applyAlignment="1">
      <alignment horizontal="right" vertical="center"/>
    </xf>
    <xf numFmtId="0" fontId="51" fillId="0" borderId="0" xfId="0" applyFont="1" applyAlignment="1">
      <alignment horizontal="right"/>
    </xf>
    <xf numFmtId="0" fontId="14" fillId="0" borderId="0" xfId="77" applyFont="1" applyAlignment="1">
      <alignment horizontal="center" vertical="center"/>
    </xf>
    <xf numFmtId="0" fontId="63" fillId="0" borderId="0" xfId="77" applyFont="1" applyAlignment="1">
      <alignment horizontal="center" vertical="center"/>
    </xf>
    <xf numFmtId="0" fontId="56" fillId="0" borderId="0" xfId="77" applyFont="1"/>
    <xf numFmtId="0" fontId="22" fillId="0" borderId="11" xfId="77" applyFont="1" applyFill="1" applyBorder="1" applyAlignment="1">
      <alignment horizontal="center" vertical="center" wrapText="1"/>
    </xf>
    <xf numFmtId="3" fontId="22" fillId="0" borderId="19" xfId="77" applyNumberFormat="1" applyFont="1" applyFill="1" applyBorder="1" applyAlignment="1">
      <alignment horizontal="center" vertical="center" wrapText="1"/>
    </xf>
    <xf numFmtId="3" fontId="19" fillId="0" borderId="10" xfId="77" applyNumberFormat="1" applyFont="1" applyFill="1" applyBorder="1" applyAlignment="1">
      <alignment horizontal="right" vertical="center" wrapText="1"/>
    </xf>
    <xf numFmtId="3" fontId="14" fillId="0" borderId="10" xfId="77" applyNumberFormat="1" applyFont="1" applyFill="1" applyBorder="1" applyAlignment="1">
      <alignment horizontal="right" vertical="center" wrapText="1"/>
    </xf>
    <xf numFmtId="3" fontId="14" fillId="0" borderId="12" xfId="77" applyNumberFormat="1" applyFont="1" applyFill="1" applyBorder="1" applyAlignment="1">
      <alignment horizontal="right" vertical="center" wrapText="1"/>
    </xf>
    <xf numFmtId="164" fontId="19" fillId="0" borderId="14" xfId="26" applyNumberFormat="1" applyFont="1" applyBorder="1" applyAlignment="1">
      <alignment horizontal="right" vertical="center" wrapText="1"/>
    </xf>
    <xf numFmtId="164" fontId="19" fillId="0" borderId="12" xfId="26" applyNumberFormat="1" applyFont="1" applyBorder="1" applyAlignment="1">
      <alignment horizontal="right" vertical="center" wrapText="1"/>
    </xf>
    <xf numFmtId="3" fontId="14" fillId="0" borderId="23" xfId="77" applyNumberFormat="1" applyFont="1" applyBorder="1" applyAlignment="1">
      <alignment horizontal="right" vertical="center"/>
    </xf>
    <xf numFmtId="3" fontId="19" fillId="0" borderId="23" xfId="77" applyNumberFormat="1" applyFont="1" applyFill="1" applyBorder="1" applyAlignment="1">
      <alignment horizontal="right" vertical="center"/>
    </xf>
    <xf numFmtId="3" fontId="14" fillId="0" borderId="23" xfId="77" applyNumberFormat="1" applyFont="1" applyFill="1" applyBorder="1" applyAlignment="1">
      <alignment horizontal="right" vertical="center"/>
    </xf>
    <xf numFmtId="3" fontId="14" fillId="31" borderId="10" xfId="77" applyNumberFormat="1" applyFont="1" applyFill="1" applyBorder="1" applyAlignment="1">
      <alignment horizontal="right" vertical="center"/>
    </xf>
    <xf numFmtId="0" fontId="60" fillId="0" borderId="0" xfId="77" applyFont="1"/>
    <xf numFmtId="3" fontId="14" fillId="32" borderId="17" xfId="77" applyNumberFormat="1" applyFont="1" applyFill="1" applyBorder="1" applyAlignment="1">
      <alignment horizontal="right"/>
    </xf>
    <xf numFmtId="3" fontId="108" fillId="0" borderId="10" xfId="46" applyNumberFormat="1" applyFont="1" applyBorder="1"/>
    <xf numFmtId="3" fontId="67" fillId="0" borderId="10" xfId="0" applyNumberFormat="1" applyFont="1" applyFill="1" applyBorder="1" applyAlignment="1">
      <alignment horizontal="right" vertical="center"/>
    </xf>
    <xf numFmtId="49" fontId="14" fillId="0" borderId="46" xfId="0" applyNumberFormat="1" applyFont="1" applyFill="1" applyBorder="1" applyAlignment="1">
      <alignment horizontal="center" vertical="center" wrapText="1"/>
    </xf>
    <xf numFmtId="0" fontId="14" fillId="0" borderId="43" xfId="0" applyFont="1" applyFill="1" applyBorder="1" applyAlignment="1">
      <alignment horizontal="center" vertical="center"/>
    </xf>
    <xf numFmtId="0" fontId="14" fillId="0" borderId="43" xfId="46" applyFont="1" applyBorder="1" applyAlignment="1">
      <alignment horizontal="center" vertical="center" wrapText="1"/>
    </xf>
    <xf numFmtId="0" fontId="14" fillId="0" borderId="50" xfId="46" applyFont="1" applyBorder="1" applyAlignment="1">
      <alignment horizontal="center" vertical="center" wrapText="1"/>
    </xf>
    <xf numFmtId="3" fontId="108" fillId="0" borderId="10" xfId="46" applyNumberFormat="1" applyFont="1" applyBorder="1" applyAlignment="1">
      <alignment horizontal="right" vertical="center" wrapText="1"/>
    </xf>
    <xf numFmtId="3" fontId="108" fillId="0" borderId="28" xfId="46" applyNumberFormat="1" applyFont="1" applyBorder="1" applyAlignment="1">
      <alignment horizontal="right" vertical="center" wrapText="1"/>
    </xf>
    <xf numFmtId="3" fontId="108" fillId="0" borderId="28" xfId="0" applyNumberFormat="1" applyFont="1" applyBorder="1" applyAlignment="1">
      <alignment horizontal="right" vertical="center"/>
    </xf>
    <xf numFmtId="3" fontId="108" fillId="0" borderId="28" xfId="0" applyNumberFormat="1" applyFont="1" applyFill="1" applyBorder="1" applyAlignment="1">
      <alignment horizontal="right" vertical="center"/>
    </xf>
    <xf numFmtId="0" fontId="65" fillId="0" borderId="19" xfId="0" applyFont="1" applyFill="1" applyBorder="1" applyAlignment="1">
      <alignment horizontal="center" vertical="center" wrapText="1"/>
    </xf>
    <xf numFmtId="0" fontId="65" fillId="0" borderId="19" xfId="46" applyFont="1" applyBorder="1" applyAlignment="1">
      <alignment horizontal="center" vertical="center" wrapText="1"/>
    </xf>
    <xf numFmtId="167" fontId="49" fillId="29" borderId="19" xfId="0" applyNumberFormat="1" applyFont="1" applyFill="1" applyBorder="1" applyAlignment="1">
      <alignment vertical="center"/>
    </xf>
    <xf numFmtId="167" fontId="19" fillId="0" borderId="15" xfId="0" applyNumberFormat="1" applyFont="1" applyFill="1" applyBorder="1" applyAlignment="1">
      <alignment vertical="center"/>
    </xf>
    <xf numFmtId="0" fontId="19" fillId="0" borderId="43" xfId="63" applyFont="1" applyBorder="1" applyAlignment="1">
      <alignment horizontal="left" vertical="center" wrapText="1"/>
    </xf>
    <xf numFmtId="167" fontId="19" fillId="0" borderId="16" xfId="0" applyNumberFormat="1" applyFont="1" applyFill="1" applyBorder="1" applyAlignment="1">
      <alignment vertical="center"/>
    </xf>
    <xf numFmtId="0" fontId="19" fillId="0" borderId="10" xfId="63" applyFont="1" applyBorder="1" applyAlignment="1">
      <alignment horizontal="justify" vertical="center"/>
    </xf>
    <xf numFmtId="0" fontId="19" fillId="0" borderId="24" xfId="63" applyFont="1" applyBorder="1" applyAlignment="1">
      <alignment horizontal="left" vertical="center" wrapText="1"/>
    </xf>
    <xf numFmtId="167" fontId="49" fillId="24" borderId="19" xfId="0" applyNumberFormat="1" applyFont="1" applyFill="1" applyBorder="1" applyAlignment="1">
      <alignment vertical="center"/>
    </xf>
    <xf numFmtId="0" fontId="51" fillId="0" borderId="0" xfId="46" applyFont="1" applyAlignment="1">
      <alignment horizontal="center" wrapText="1"/>
    </xf>
    <xf numFmtId="0" fontId="67" fillId="0" borderId="0" xfId="0" applyFont="1" applyAlignment="1">
      <alignment horizontal="right"/>
    </xf>
    <xf numFmtId="1" fontId="19" fillId="0" borderId="27" xfId="68" applyNumberFormat="1" applyFont="1" applyFill="1" applyBorder="1" applyAlignment="1">
      <alignment horizontal="center" vertical="center"/>
    </xf>
    <xf numFmtId="0" fontId="19" fillId="0" borderId="0" xfId="59" applyFont="1" applyBorder="1"/>
    <xf numFmtId="2" fontId="67" fillId="0" borderId="10" xfId="47" applyNumberFormat="1" applyFont="1" applyBorder="1" applyAlignment="1">
      <alignment vertical="center" wrapText="1"/>
    </xf>
    <xf numFmtId="0" fontId="57" fillId="0" borderId="10" xfId="47" applyFont="1" applyBorder="1" applyAlignment="1">
      <alignment vertical="center" wrapText="1"/>
    </xf>
    <xf numFmtId="0" fontId="19" fillId="0" borderId="0" xfId="59" applyFont="1" applyBorder="1" applyAlignment="1">
      <alignment vertical="center"/>
    </xf>
    <xf numFmtId="2" fontId="57" fillId="0" borderId="10" xfId="47" applyNumberFormat="1" applyFont="1" applyBorder="1" applyAlignment="1">
      <alignment vertical="center"/>
    </xf>
    <xf numFmtId="0" fontId="67" fillId="0" borderId="10" xfId="47" applyFont="1" applyBorder="1" applyAlignment="1">
      <alignment vertical="center" wrapText="1"/>
    </xf>
    <xf numFmtId="0" fontId="70" fillId="0" borderId="0" xfId="59" applyFont="1" applyBorder="1"/>
    <xf numFmtId="0" fontId="70" fillId="0" borderId="0" xfId="59" applyFont="1" applyBorder="1" applyAlignment="1">
      <alignment vertical="center"/>
    </xf>
    <xf numFmtId="0" fontId="14" fillId="0" borderId="0" xfId="59" applyFont="1" applyBorder="1" applyAlignment="1">
      <alignment vertical="center"/>
    </xf>
    <xf numFmtId="0" fontId="14" fillId="0" borderId="0" xfId="59" applyFont="1" applyBorder="1" applyAlignment="1">
      <alignment horizontal="right" vertical="center"/>
    </xf>
    <xf numFmtId="0" fontId="93" fillId="0" borderId="26" xfId="47" applyFont="1" applyFill="1" applyBorder="1" applyAlignment="1">
      <alignment vertical="center" wrapText="1"/>
    </xf>
    <xf numFmtId="0" fontId="57" fillId="0" borderId="24" xfId="47" applyFont="1" applyFill="1" applyBorder="1" applyAlignment="1">
      <alignment horizontal="center" vertical="center" wrapText="1"/>
    </xf>
    <xf numFmtId="3" fontId="57" fillId="0" borderId="24" xfId="47" applyNumberFormat="1" applyFont="1" applyFill="1" applyBorder="1" applyAlignment="1">
      <alignment horizontal="center" vertical="center" wrapText="1"/>
    </xf>
    <xf numFmtId="0" fontId="67" fillId="0" borderId="29" xfId="47" applyNumberFormat="1" applyFont="1" applyFill="1" applyBorder="1" applyAlignment="1">
      <alignment horizontal="justify" vertical="center"/>
    </xf>
    <xf numFmtId="0" fontId="67" fillId="0" borderId="28" xfId="47" applyNumberFormat="1" applyFont="1" applyFill="1" applyBorder="1" applyAlignment="1">
      <alignment horizontal="justify" vertical="center"/>
    </xf>
    <xf numFmtId="0" fontId="57" fillId="0" borderId="31" xfId="47" applyFont="1" applyFill="1" applyBorder="1" applyAlignment="1">
      <alignment vertical="center"/>
    </xf>
    <xf numFmtId="0" fontId="92" fillId="0" borderId="27" xfId="47" applyFont="1" applyFill="1" applyBorder="1" applyAlignment="1">
      <alignment vertical="center" wrapText="1"/>
    </xf>
    <xf numFmtId="3" fontId="117" fillId="0" borderId="0" xfId="46" applyNumberFormat="1"/>
    <xf numFmtId="3" fontId="15" fillId="0" borderId="0" xfId="77" applyNumberFormat="1" applyFont="1"/>
    <xf numFmtId="0" fontId="23" fillId="0" borderId="0" xfId="46" applyFont="1" applyAlignment="1">
      <alignment horizontal="left"/>
    </xf>
    <xf numFmtId="0" fontId="51" fillId="0" borderId="0" xfId="77" applyFont="1" applyAlignment="1">
      <alignment horizontal="center"/>
    </xf>
    <xf numFmtId="0" fontId="93" fillId="0" borderId="0" xfId="46" applyFont="1" applyAlignment="1">
      <alignment horizontal="center" wrapText="1"/>
    </xf>
    <xf numFmtId="0" fontId="67" fillId="0" borderId="0" xfId="65" applyFont="1" applyFill="1" applyAlignment="1">
      <alignment horizontal="center"/>
    </xf>
    <xf numFmtId="0" fontId="67" fillId="0" borderId="0" xfId="47" applyFont="1" applyFill="1" applyAlignment="1">
      <alignment horizontal="center" vertical="center"/>
    </xf>
    <xf numFmtId="0" fontId="67" fillId="0" borderId="0" xfId="47" applyFont="1" applyFill="1" applyAlignment="1"/>
    <xf numFmtId="0" fontId="67" fillId="0" borderId="0" xfId="47" applyFont="1" applyFill="1"/>
    <xf numFmtId="0" fontId="14" fillId="0" borderId="19" xfId="47" applyFont="1" applyFill="1" applyBorder="1" applyAlignment="1">
      <alignment horizontal="center" vertical="center" wrapText="1"/>
    </xf>
    <xf numFmtId="0" fontId="14" fillId="0" borderId="19" xfId="47" applyFont="1" applyFill="1" applyBorder="1" applyAlignment="1">
      <alignment horizontal="center" vertical="center"/>
    </xf>
    <xf numFmtId="0" fontId="20" fillId="0" borderId="26" xfId="0" applyFont="1" applyBorder="1" applyAlignment="1">
      <alignment horizontal="center"/>
    </xf>
    <xf numFmtId="0" fontId="20" fillId="0" borderId="27" xfId="0" applyFont="1" applyBorder="1" applyAlignment="1">
      <alignment horizontal="center"/>
    </xf>
    <xf numFmtId="0" fontId="21" fillId="0" borderId="27" xfId="0" applyFont="1" applyBorder="1" applyAlignment="1">
      <alignment horizontal="center"/>
    </xf>
    <xf numFmtId="0" fontId="20" fillId="0" borderId="27" xfId="0" applyFont="1" applyBorder="1" applyAlignment="1">
      <alignment horizontal="center" vertical="center"/>
    </xf>
    <xf numFmtId="0" fontId="20" fillId="0" borderId="31" xfId="0" applyFont="1" applyBorder="1" applyAlignment="1">
      <alignment horizontal="center"/>
    </xf>
    <xf numFmtId="0" fontId="21" fillId="0" borderId="18" xfId="0" applyFont="1" applyBorder="1" applyAlignment="1">
      <alignment horizontal="center"/>
    </xf>
    <xf numFmtId="0" fontId="21" fillId="24" borderId="18" xfId="0" applyFont="1" applyFill="1" applyBorder="1" applyAlignment="1">
      <alignment horizontal="center" vertical="center" wrapText="1"/>
    </xf>
    <xf numFmtId="0" fontId="21" fillId="24" borderId="19" xfId="0" applyFont="1" applyFill="1" applyBorder="1" applyAlignment="1">
      <alignment horizontal="left" vertical="center" wrapText="1"/>
    </xf>
    <xf numFmtId="0" fontId="14" fillId="24" borderId="19" xfId="0" applyFont="1" applyFill="1" applyBorder="1" applyAlignment="1">
      <alignment horizontal="left" vertical="center"/>
    </xf>
    <xf numFmtId="3" fontId="92" fillId="24" borderId="19" xfId="0" applyNumberFormat="1" applyFont="1" applyFill="1" applyBorder="1" applyAlignment="1">
      <alignment horizontal="right"/>
    </xf>
    <xf numFmtId="0" fontId="18" fillId="0" borderId="26" xfId="0" applyFont="1" applyBorder="1" applyAlignment="1">
      <alignment horizontal="center"/>
    </xf>
    <xf numFmtId="0" fontId="18" fillId="0" borderId="27" xfId="0" applyFont="1" applyBorder="1" applyAlignment="1">
      <alignment horizontal="center"/>
    </xf>
    <xf numFmtId="0" fontId="21" fillId="24" borderId="18" xfId="0" applyFont="1" applyFill="1" applyBorder="1" applyAlignment="1">
      <alignment horizontal="center"/>
    </xf>
    <xf numFmtId="167" fontId="49" fillId="29" borderId="18" xfId="0" applyNumberFormat="1" applyFont="1" applyFill="1" applyBorder="1" applyAlignment="1">
      <alignment horizontal="center" vertical="center"/>
    </xf>
    <xf numFmtId="167" fontId="19" fillId="0" borderId="59" xfId="0" applyNumberFormat="1" applyFont="1" applyFill="1" applyBorder="1" applyAlignment="1">
      <alignment horizontal="center" vertical="center"/>
    </xf>
    <xf numFmtId="167" fontId="19" fillId="0" borderId="60" xfId="0" applyNumberFormat="1" applyFont="1" applyFill="1" applyBorder="1" applyAlignment="1">
      <alignment horizontal="center" vertical="center"/>
    </xf>
    <xf numFmtId="167" fontId="49" fillId="24" borderId="18" xfId="0" applyNumberFormat="1" applyFont="1" applyFill="1" applyBorder="1" applyAlignment="1">
      <alignment horizontal="center" vertical="center"/>
    </xf>
    <xf numFmtId="0" fontId="21" fillId="0" borderId="61" xfId="0" applyFont="1" applyFill="1" applyBorder="1" applyAlignment="1">
      <alignment horizontal="center" vertical="center" wrapText="1"/>
    </xf>
    <xf numFmtId="0" fontId="18" fillId="0" borderId="61" xfId="0" applyFont="1" applyFill="1" applyBorder="1" applyAlignment="1">
      <alignment horizontal="center" vertical="center" wrapText="1"/>
    </xf>
    <xf numFmtId="49" fontId="83" fillId="29" borderId="18" xfId="0" applyNumberFormat="1" applyFont="1" applyFill="1" applyBorder="1" applyAlignment="1">
      <alignment horizontal="center" vertical="center"/>
    </xf>
    <xf numFmtId="49" fontId="82" fillId="0" borderId="26" xfId="0" applyNumberFormat="1" applyFont="1" applyFill="1" applyBorder="1" applyAlignment="1">
      <alignment horizontal="center" vertical="center"/>
    </xf>
    <xf numFmtId="49" fontId="82" fillId="0" borderId="27" xfId="0" applyNumberFormat="1" applyFont="1" applyFill="1" applyBorder="1" applyAlignment="1">
      <alignment horizontal="center" vertical="center"/>
    </xf>
    <xf numFmtId="167" fontId="82" fillId="0" borderId="26" xfId="0" applyNumberFormat="1" applyFont="1" applyFill="1" applyBorder="1" applyAlignment="1">
      <alignment horizontal="center" vertical="center"/>
    </xf>
    <xf numFmtId="49" fontId="21" fillId="29" borderId="18" xfId="0" applyNumberFormat="1" applyFont="1" applyFill="1" applyBorder="1" applyAlignment="1">
      <alignment horizontal="center" vertical="center"/>
    </xf>
    <xf numFmtId="49" fontId="83" fillId="24" borderId="18" xfId="0" applyNumberFormat="1" applyFont="1" applyFill="1" applyBorder="1" applyAlignment="1">
      <alignment horizontal="center" vertical="center"/>
    </xf>
    <xf numFmtId="167" fontId="82" fillId="0" borderId="31" xfId="0" applyNumberFormat="1" applyFont="1" applyFill="1" applyBorder="1" applyAlignment="1">
      <alignment horizontal="center" vertical="center"/>
    </xf>
    <xf numFmtId="1" fontId="22" fillId="29" borderId="18" xfId="31" applyNumberFormat="1" applyFont="1" applyFill="1" applyBorder="1" applyAlignment="1">
      <alignment horizontal="center" vertical="center"/>
    </xf>
    <xf numFmtId="1" fontId="51" fillId="0" borderId="26" xfId="68" applyNumberFormat="1" applyFont="1" applyFill="1" applyBorder="1" applyAlignment="1">
      <alignment horizontal="center" vertical="center"/>
    </xf>
    <xf numFmtId="1" fontId="51" fillId="0" borderId="27" xfId="68" applyNumberFormat="1" applyFont="1" applyFill="1" applyBorder="1" applyAlignment="1">
      <alignment horizontal="center" vertical="center"/>
    </xf>
    <xf numFmtId="1" fontId="22" fillId="24" borderId="18" xfId="31" applyNumberFormat="1" applyFont="1" applyFill="1" applyBorder="1" applyAlignment="1">
      <alignment horizontal="center" vertical="center"/>
    </xf>
    <xf numFmtId="0" fontId="51" fillId="0" borderId="0" xfId="65" applyFont="1" applyAlignment="1">
      <alignment horizontal="right" vertical="center"/>
    </xf>
    <xf numFmtId="0" fontId="93" fillId="0" borderId="0" xfId="55" applyFont="1" applyAlignment="1">
      <alignment horizontal="center"/>
    </xf>
    <xf numFmtId="0" fontId="51" fillId="0" borderId="0" xfId="65" applyFont="1" applyBorder="1" applyAlignment="1">
      <alignment horizontal="right" vertical="center"/>
    </xf>
    <xf numFmtId="0" fontId="105" fillId="0" borderId="0" xfId="65" applyFont="1" applyBorder="1" applyAlignment="1">
      <alignment horizontal="right"/>
    </xf>
    <xf numFmtId="0" fontId="105" fillId="0" borderId="0" xfId="65" applyFont="1" applyAlignment="1">
      <alignment horizontal="right" vertical="center"/>
    </xf>
    <xf numFmtId="0" fontId="93" fillId="0" borderId="0" xfId="0" applyFont="1" applyAlignment="1">
      <alignment horizontal="right" vertical="center"/>
    </xf>
    <xf numFmtId="0" fontId="93" fillId="0" borderId="0" xfId="0" applyFont="1" applyAlignment="1">
      <alignment horizontal="center" vertical="center"/>
    </xf>
    <xf numFmtId="0" fontId="109" fillId="0" borderId="0" xfId="47" applyFont="1" applyAlignment="1">
      <alignment horizontal="center"/>
    </xf>
    <xf numFmtId="0" fontId="109" fillId="0" borderId="0" xfId="47" applyFont="1" applyAlignment="1">
      <alignment vertical="center"/>
    </xf>
    <xf numFmtId="0" fontId="93" fillId="0" borderId="0" xfId="0" applyFont="1"/>
    <xf numFmtId="0" fontId="108" fillId="0" borderId="0" xfId="0" applyFont="1" applyAlignment="1">
      <alignment horizontal="right" vertical="center"/>
    </xf>
    <xf numFmtId="0" fontId="106" fillId="0" borderId="0" xfId="69" applyFont="1" applyBorder="1" applyAlignment="1">
      <alignment horizontal="center" wrapText="1"/>
    </xf>
    <xf numFmtId="0" fontId="106" fillId="0" borderId="0" xfId="69" applyFont="1" applyBorder="1" applyAlignment="1">
      <alignment wrapText="1"/>
    </xf>
    <xf numFmtId="0" fontId="155" fillId="0" borderId="0" xfId="68" applyFont="1" applyBorder="1" applyAlignment="1">
      <alignment horizontal="center" wrapText="1"/>
    </xf>
    <xf numFmtId="0" fontId="102" fillId="0" borderId="0" xfId="46" applyFont="1" applyAlignment="1">
      <alignment horizontal="center" wrapText="1"/>
    </xf>
    <xf numFmtId="0" fontId="103" fillId="0" borderId="0" xfId="0" applyFont="1" applyFill="1" applyBorder="1" applyAlignment="1">
      <alignment horizontal="right"/>
    </xf>
    <xf numFmtId="0" fontId="50" fillId="0" borderId="0" xfId="0" applyFont="1" applyAlignment="1">
      <alignment horizontal="center"/>
    </xf>
    <xf numFmtId="0" fontId="67" fillId="0" borderId="10" xfId="0" applyFont="1" applyFill="1" applyBorder="1" applyAlignment="1">
      <alignment horizontal="center" vertical="center"/>
    </xf>
    <xf numFmtId="0" fontId="67" fillId="0" borderId="10" xfId="0" applyFont="1" applyFill="1" applyBorder="1" applyAlignment="1">
      <alignment vertical="center" wrapText="1"/>
    </xf>
    <xf numFmtId="0" fontId="57" fillId="36" borderId="27" xfId="47" applyFont="1" applyFill="1" applyBorder="1" applyAlignment="1">
      <alignment vertical="center"/>
    </xf>
    <xf numFmtId="0" fontId="57" fillId="36" borderId="28" xfId="47" applyFont="1" applyFill="1" applyBorder="1" applyAlignment="1">
      <alignment horizontal="justify" vertical="center"/>
    </xf>
    <xf numFmtId="0" fontId="57" fillId="24" borderId="47" xfId="47" applyFont="1" applyFill="1" applyBorder="1" applyAlignment="1">
      <alignment vertical="center" wrapText="1"/>
    </xf>
    <xf numFmtId="0" fontId="57" fillId="24" borderId="48" xfId="47" applyFont="1" applyFill="1" applyBorder="1" applyAlignment="1">
      <alignment horizontal="center" vertical="center"/>
    </xf>
    <xf numFmtId="3" fontId="57" fillId="24" borderId="48" xfId="47" applyNumberFormat="1" applyFont="1" applyFill="1" applyBorder="1" applyAlignment="1">
      <alignment horizontal="center" vertical="center"/>
    </xf>
    <xf numFmtId="0" fontId="57" fillId="24" borderId="52" xfId="47" applyFont="1" applyFill="1" applyBorder="1" applyAlignment="1">
      <alignment horizontal="justify" vertical="center"/>
    </xf>
    <xf numFmtId="0" fontId="57" fillId="0" borderId="62" xfId="0" applyFont="1" applyFill="1" applyBorder="1" applyAlignment="1">
      <alignment vertical="center"/>
    </xf>
    <xf numFmtId="0" fontId="57" fillId="0" borderId="62" xfId="0" applyFont="1" applyFill="1" applyBorder="1" applyAlignment="1">
      <alignment horizontal="center" vertical="center"/>
    </xf>
    <xf numFmtId="3" fontId="57" fillId="0" borderId="62" xfId="0" applyNumberFormat="1" applyFont="1" applyFill="1" applyBorder="1" applyAlignment="1">
      <alignment horizontal="right" vertical="center"/>
    </xf>
    <xf numFmtId="0" fontId="57" fillId="0" borderId="62" xfId="0" applyFont="1" applyFill="1" applyBorder="1" applyAlignment="1">
      <alignment horizontal="justify" vertical="center"/>
    </xf>
    <xf numFmtId="0" fontId="50" fillId="0" borderId="0" xfId="0" applyFont="1" applyAlignment="1">
      <alignment horizontal="center"/>
    </xf>
    <xf numFmtId="0" fontId="0" fillId="0" borderId="0" xfId="0" applyAlignment="1"/>
    <xf numFmtId="0" fontId="116" fillId="0" borderId="0" xfId="0" applyFont="1" applyAlignment="1">
      <alignment horizontal="center"/>
    </xf>
    <xf numFmtId="3" fontId="51" fillId="0" borderId="16" xfId="46" applyNumberFormat="1" applyFont="1" applyBorder="1"/>
    <xf numFmtId="3" fontId="22" fillId="26" borderId="16" xfId="46" applyNumberFormat="1" applyFont="1" applyFill="1" applyBorder="1"/>
    <xf numFmtId="3" fontId="22" fillId="24" borderId="16" xfId="0" applyNumberFormat="1" applyFont="1" applyFill="1" applyBorder="1"/>
    <xf numFmtId="3" fontId="22" fillId="28" borderId="16" xfId="0" applyNumberFormat="1" applyFont="1" applyFill="1" applyBorder="1"/>
    <xf numFmtId="3" fontId="22" fillId="0" borderId="16" xfId="46" applyNumberFormat="1" applyFont="1" applyBorder="1"/>
    <xf numFmtId="3" fontId="51" fillId="0" borderId="16" xfId="0" applyNumberFormat="1" applyFont="1" applyBorder="1" applyAlignment="1">
      <alignment horizontal="right"/>
    </xf>
    <xf numFmtId="3" fontId="22" fillId="0" borderId="16" xfId="0" applyNumberFormat="1" applyFont="1" applyBorder="1" applyAlignment="1">
      <alignment horizontal="right"/>
    </xf>
    <xf numFmtId="3" fontId="22" fillId="26" borderId="16" xfId="0" applyNumberFormat="1" applyFont="1" applyFill="1" applyBorder="1" applyAlignment="1">
      <alignment horizontal="right"/>
    </xf>
    <xf numFmtId="3" fontId="22" fillId="24" borderId="16" xfId="0" applyNumberFormat="1" applyFont="1" applyFill="1" applyBorder="1" applyAlignment="1">
      <alignment horizontal="right"/>
    </xf>
    <xf numFmtId="3" fontId="22" fillId="0" borderId="16" xfId="0" applyNumberFormat="1" applyFont="1" applyFill="1" applyBorder="1" applyAlignment="1">
      <alignment horizontal="right"/>
    </xf>
    <xf numFmtId="171" fontId="93" fillId="0" borderId="16" xfId="50" applyNumberFormat="1" applyFont="1" applyBorder="1"/>
    <xf numFmtId="0" fontId="23" fillId="27" borderId="34" xfId="0" applyFont="1" applyFill="1" applyBorder="1"/>
    <xf numFmtId="0" fontId="51" fillId="0" borderId="16" xfId="46" applyFont="1" applyBorder="1"/>
    <xf numFmtId="3" fontId="22" fillId="24" borderId="16" xfId="46" applyNumberFormat="1" applyFont="1" applyFill="1" applyBorder="1"/>
    <xf numFmtId="3" fontId="22" fillId="27" borderId="44" xfId="0" applyNumberFormat="1" applyFont="1" applyFill="1" applyBorder="1"/>
    <xf numFmtId="0" fontId="22" fillId="0" borderId="46" xfId="46" applyFont="1" applyFill="1" applyBorder="1" applyAlignment="1">
      <alignment horizontal="center" vertical="center" wrapText="1"/>
    </xf>
    <xf numFmtId="0" fontId="22" fillId="0" borderId="43" xfId="46" applyFont="1" applyFill="1" applyBorder="1" applyAlignment="1">
      <alignment horizontal="center" vertical="center" wrapText="1"/>
    </xf>
    <xf numFmtId="3" fontId="22" fillId="0" borderId="16" xfId="80" applyNumberFormat="1" applyFont="1" applyFill="1" applyBorder="1" applyAlignment="1">
      <alignment horizontal="right"/>
    </xf>
    <xf numFmtId="3" fontId="51" fillId="0" borderId="16" xfId="80" applyNumberFormat="1" applyFont="1" applyFill="1" applyBorder="1" applyAlignment="1">
      <alignment horizontal="right"/>
    </xf>
    <xf numFmtId="3" fontId="100" fillId="0" borderId="16" xfId="46" applyNumberFormat="1" applyFont="1" applyFill="1" applyBorder="1" applyAlignment="1">
      <alignment horizontal="right"/>
    </xf>
    <xf numFmtId="3" fontId="100" fillId="0" borderId="16" xfId="80" applyNumberFormat="1" applyFont="1" applyFill="1" applyBorder="1" applyAlignment="1">
      <alignment horizontal="right"/>
    </xf>
    <xf numFmtId="3" fontId="22" fillId="26" borderId="16" xfId="46" applyNumberFormat="1" applyFont="1" applyFill="1" applyBorder="1" applyAlignment="1">
      <alignment horizontal="right"/>
    </xf>
    <xf numFmtId="3" fontId="51" fillId="28" borderId="16" xfId="0" applyNumberFormat="1" applyFont="1" applyFill="1" applyBorder="1" applyAlignment="1">
      <alignment horizontal="right"/>
    </xf>
    <xf numFmtId="3" fontId="51" fillId="0" borderId="16" xfId="46" applyNumberFormat="1" applyFont="1" applyBorder="1" applyAlignment="1">
      <alignment horizontal="right"/>
    </xf>
    <xf numFmtId="3" fontId="22" fillId="0" borderId="16" xfId="46" applyNumberFormat="1" applyFont="1" applyBorder="1" applyAlignment="1">
      <alignment horizontal="right"/>
    </xf>
    <xf numFmtId="3" fontId="22" fillId="27" borderId="16" xfId="0" applyNumberFormat="1" applyFont="1" applyFill="1" applyBorder="1" applyAlignment="1">
      <alignment horizontal="right"/>
    </xf>
    <xf numFmtId="3" fontId="51" fillId="0" borderId="16" xfId="46" applyNumberFormat="1" applyFont="1" applyFill="1" applyBorder="1" applyAlignment="1">
      <alignment horizontal="right"/>
    </xf>
    <xf numFmtId="3" fontId="22" fillId="0" borderId="16" xfId="46" applyNumberFormat="1" applyFont="1" applyFill="1" applyBorder="1" applyAlignment="1">
      <alignment horizontal="right"/>
    </xf>
    <xf numFmtId="3" fontId="22" fillId="27" borderId="44" xfId="0" applyNumberFormat="1" applyFont="1" applyFill="1" applyBorder="1" applyAlignment="1">
      <alignment horizontal="right"/>
    </xf>
    <xf numFmtId="3" fontId="57" fillId="0" borderId="10" xfId="0" applyNumberFormat="1" applyFont="1" applyBorder="1" applyAlignment="1">
      <alignment horizontal="right"/>
    </xf>
    <xf numFmtId="3" fontId="109" fillId="26" borderId="10" xfId="0" applyNumberFormat="1" applyFont="1" applyFill="1" applyBorder="1" applyAlignment="1">
      <alignment horizontal="right" vertical="center"/>
    </xf>
    <xf numFmtId="3" fontId="109" fillId="26" borderId="28" xfId="0" applyNumberFormat="1" applyFont="1" applyFill="1" applyBorder="1" applyAlignment="1">
      <alignment horizontal="right" vertical="center"/>
    </xf>
    <xf numFmtId="0" fontId="58" fillId="24" borderId="35" xfId="0" applyFont="1" applyFill="1" applyBorder="1" applyAlignment="1">
      <alignment horizontal="left" vertical="center" wrapText="1"/>
    </xf>
    <xf numFmtId="3" fontId="109" fillId="24" borderId="35" xfId="0" applyNumberFormat="1" applyFont="1" applyFill="1" applyBorder="1" applyAlignment="1">
      <alignment horizontal="right" vertical="center"/>
    </xf>
    <xf numFmtId="3" fontId="109" fillId="24" borderId="36" xfId="0" applyNumberFormat="1" applyFont="1" applyFill="1" applyBorder="1" applyAlignment="1">
      <alignment horizontal="right" vertical="center"/>
    </xf>
    <xf numFmtId="0" fontId="14" fillId="0" borderId="57" xfId="46" applyFont="1" applyBorder="1" applyAlignment="1">
      <alignment horizontal="center" vertical="center" wrapText="1"/>
    </xf>
    <xf numFmtId="3" fontId="108" fillId="0" borderId="16" xfId="46" applyNumberFormat="1" applyFont="1" applyBorder="1" applyAlignment="1">
      <alignment horizontal="right" vertical="center" wrapText="1"/>
    </xf>
    <xf numFmtId="3" fontId="108" fillId="0" borderId="16" xfId="0" applyNumberFormat="1" applyFont="1" applyBorder="1" applyAlignment="1">
      <alignment horizontal="right" vertical="center"/>
    </xf>
    <xf numFmtId="3" fontId="109" fillId="26" borderId="16" xfId="0" applyNumberFormat="1" applyFont="1" applyFill="1" applyBorder="1" applyAlignment="1">
      <alignment horizontal="right" vertical="center"/>
    </xf>
    <xf numFmtId="3" fontId="109" fillId="0" borderId="16" xfId="0" applyNumberFormat="1" applyFont="1" applyBorder="1" applyAlignment="1">
      <alignment horizontal="right" vertical="center"/>
    </xf>
    <xf numFmtId="3" fontId="108" fillId="0" borderId="16" xfId="0" applyNumberFormat="1" applyFont="1" applyFill="1" applyBorder="1" applyAlignment="1">
      <alignment horizontal="right" vertical="center"/>
    </xf>
    <xf numFmtId="3" fontId="109" fillId="24" borderId="44" xfId="0" applyNumberFormat="1" applyFont="1" applyFill="1" applyBorder="1" applyAlignment="1">
      <alignment horizontal="right" vertical="center"/>
    </xf>
    <xf numFmtId="0" fontId="14" fillId="0" borderId="54" xfId="46" applyFont="1" applyBorder="1" applyAlignment="1">
      <alignment horizontal="center" vertical="center" wrapText="1"/>
    </xf>
    <xf numFmtId="3" fontId="108" fillId="0" borderId="38" xfId="46" applyNumberFormat="1" applyFont="1" applyBorder="1" applyAlignment="1">
      <alignment horizontal="right" vertical="center" wrapText="1"/>
    </xf>
    <xf numFmtId="3" fontId="108" fillId="0" borderId="38" xfId="0" applyNumberFormat="1" applyFont="1" applyBorder="1" applyAlignment="1">
      <alignment horizontal="right" vertical="center"/>
    </xf>
    <xf numFmtId="3" fontId="109" fillId="26" borderId="38" xfId="0" applyNumberFormat="1" applyFont="1" applyFill="1" applyBorder="1" applyAlignment="1">
      <alignment horizontal="right" vertical="center"/>
    </xf>
    <xf numFmtId="3" fontId="108" fillId="0" borderId="38" xfId="0" applyNumberFormat="1" applyFont="1" applyFill="1" applyBorder="1" applyAlignment="1">
      <alignment horizontal="right" vertical="center"/>
    </xf>
    <xf numFmtId="3" fontId="109" fillId="24" borderId="64" xfId="0" applyNumberFormat="1" applyFont="1" applyFill="1" applyBorder="1" applyAlignment="1">
      <alignment horizontal="right" vertical="center"/>
    </xf>
    <xf numFmtId="0" fontId="14" fillId="0" borderId="46" xfId="46" applyFont="1" applyBorder="1" applyAlignment="1">
      <alignment horizontal="center" vertical="center" wrapText="1"/>
    </xf>
    <xf numFmtId="3" fontId="108" fillId="0" borderId="27" xfId="46" applyNumberFormat="1" applyFont="1" applyBorder="1" applyAlignment="1">
      <alignment horizontal="right" vertical="center" wrapText="1"/>
    </xf>
    <xf numFmtId="3" fontId="109" fillId="26" borderId="27" xfId="0" applyNumberFormat="1" applyFont="1" applyFill="1" applyBorder="1" applyAlignment="1">
      <alignment horizontal="right" vertical="center"/>
    </xf>
    <xf numFmtId="3" fontId="108" fillId="0" borderId="27" xfId="0" applyNumberFormat="1" applyFont="1" applyBorder="1" applyAlignment="1">
      <alignment horizontal="right" vertical="center"/>
    </xf>
    <xf numFmtId="3" fontId="108" fillId="0" borderId="27" xfId="0" applyNumberFormat="1" applyFont="1" applyFill="1" applyBorder="1" applyAlignment="1">
      <alignment horizontal="right" vertical="center"/>
    </xf>
    <xf numFmtId="3" fontId="109" fillId="24" borderId="34" xfId="0" applyNumberFormat="1" applyFont="1" applyFill="1" applyBorder="1" applyAlignment="1">
      <alignment horizontal="right" vertical="center"/>
    </xf>
    <xf numFmtId="3" fontId="67" fillId="0" borderId="19" xfId="0" applyNumberFormat="1" applyFont="1" applyFill="1" applyBorder="1" applyAlignment="1">
      <alignment horizontal="right" vertical="center"/>
    </xf>
    <xf numFmtId="3" fontId="67" fillId="0" borderId="24" xfId="0" applyNumberFormat="1" applyFont="1" applyFill="1" applyBorder="1" applyAlignment="1">
      <alignment horizontal="right" vertical="center"/>
    </xf>
    <xf numFmtId="3" fontId="67" fillId="0" borderId="33" xfId="0" applyNumberFormat="1" applyFont="1" applyFill="1" applyBorder="1" applyAlignment="1">
      <alignment horizontal="right" vertical="center"/>
    </xf>
    <xf numFmtId="0" fontId="0" fillId="0" borderId="0" xfId="0" applyAlignment="1">
      <alignment vertical="center" wrapText="1"/>
    </xf>
    <xf numFmtId="0" fontId="0" fillId="0" borderId="0" xfId="0" applyAlignment="1">
      <alignment horizontal="center"/>
    </xf>
    <xf numFmtId="0" fontId="14" fillId="0" borderId="0" xfId="46" applyFont="1" applyBorder="1" applyAlignment="1">
      <alignment horizontal="center" vertical="center" wrapText="1"/>
    </xf>
    <xf numFmtId="3" fontId="108" fillId="0" borderId="0" xfId="46" applyNumberFormat="1" applyFont="1" applyBorder="1" applyAlignment="1">
      <alignment horizontal="right" vertical="center" wrapText="1"/>
    </xf>
    <xf numFmtId="3" fontId="109" fillId="26" borderId="0" xfId="0" applyNumberFormat="1" applyFont="1" applyFill="1" applyBorder="1" applyAlignment="1">
      <alignment horizontal="right" vertical="center"/>
    </xf>
    <xf numFmtId="3" fontId="108" fillId="0" borderId="0" xfId="0" applyNumberFormat="1" applyFont="1" applyBorder="1" applyAlignment="1">
      <alignment horizontal="right" vertical="center"/>
    </xf>
    <xf numFmtId="3" fontId="108" fillId="0" borderId="0" xfId="0" applyNumberFormat="1" applyFont="1" applyFill="1" applyBorder="1" applyAlignment="1">
      <alignment horizontal="right" vertical="center"/>
    </xf>
    <xf numFmtId="3" fontId="109" fillId="24" borderId="0" xfId="0" applyNumberFormat="1" applyFont="1" applyFill="1" applyBorder="1" applyAlignment="1">
      <alignment horizontal="right" vertical="center"/>
    </xf>
    <xf numFmtId="3" fontId="108" fillId="0" borderId="0" xfId="0" applyNumberFormat="1" applyFont="1" applyBorder="1" applyAlignment="1">
      <alignment horizontal="center" vertical="center"/>
    </xf>
    <xf numFmtId="0" fontId="61" fillId="0" borderId="0" xfId="46" applyFont="1" applyBorder="1" applyAlignment="1">
      <alignment horizontal="center" vertical="center" wrapText="1"/>
    </xf>
    <xf numFmtId="3" fontId="67" fillId="0" borderId="0" xfId="0" applyNumberFormat="1" applyFont="1" applyFill="1" applyBorder="1" applyAlignment="1">
      <alignment horizontal="center" vertical="center"/>
    </xf>
    <xf numFmtId="3" fontId="57" fillId="29" borderId="0" xfId="0" applyNumberFormat="1" applyFont="1" applyFill="1" applyBorder="1" applyAlignment="1">
      <alignment horizontal="center" vertical="center"/>
    </xf>
    <xf numFmtId="3" fontId="67" fillId="0" borderId="0" xfId="0" applyNumberFormat="1" applyFont="1" applyBorder="1" applyAlignment="1">
      <alignment horizontal="center" vertical="center"/>
    </xf>
    <xf numFmtId="3" fontId="57" fillId="24" borderId="0" xfId="0" applyNumberFormat="1" applyFont="1" applyFill="1" applyBorder="1" applyAlignment="1">
      <alignment horizontal="center" vertical="center"/>
    </xf>
    <xf numFmtId="0" fontId="0" fillId="0" borderId="0" xfId="0" applyAlignment="1">
      <alignment horizontal="center" wrapText="1"/>
    </xf>
    <xf numFmtId="0" fontId="20" fillId="0" borderId="0" xfId="0" applyFont="1" applyAlignment="1">
      <alignment horizontal="center"/>
    </xf>
    <xf numFmtId="0" fontId="15" fillId="0" borderId="0" xfId="0" applyFont="1" applyAlignment="1">
      <alignment horizontal="center" vertical="center"/>
    </xf>
    <xf numFmtId="0" fontId="60" fillId="0" borderId="0" xfId="65" applyFont="1" applyAlignment="1">
      <alignment horizontal="center" vertical="center"/>
    </xf>
    <xf numFmtId="3" fontId="51" fillId="0" borderId="0" xfId="68" applyNumberFormat="1" applyFont="1" applyFill="1" applyBorder="1" applyAlignment="1">
      <alignment horizontal="center" vertical="center"/>
    </xf>
    <xf numFmtId="3" fontId="22" fillId="29" borderId="0" xfId="31" applyNumberFormat="1" applyFont="1" applyFill="1" applyBorder="1" applyAlignment="1">
      <alignment horizontal="center" vertical="center"/>
    </xf>
    <xf numFmtId="3" fontId="22" fillId="24" borderId="0" xfId="31" applyNumberFormat="1" applyFont="1" applyFill="1" applyBorder="1" applyAlignment="1">
      <alignment horizontal="center" vertical="center"/>
    </xf>
    <xf numFmtId="0" fontId="140" fillId="0" borderId="0" xfId="0" applyFont="1" applyAlignment="1">
      <alignment horizontal="center" vertical="center"/>
    </xf>
    <xf numFmtId="0" fontId="82" fillId="0" borderId="0" xfId="0" applyFont="1" applyBorder="1"/>
    <xf numFmtId="3" fontId="18" fillId="0" borderId="0" xfId="0" applyNumberFormat="1" applyFont="1" applyAlignment="1">
      <alignment horizontal="center"/>
    </xf>
    <xf numFmtId="0" fontId="102" fillId="0" borderId="0" xfId="46" applyFont="1" applyAlignment="1">
      <alignment horizontal="right"/>
    </xf>
    <xf numFmtId="0" fontId="106" fillId="0" borderId="0" xfId="59" applyFont="1" applyBorder="1" applyAlignment="1">
      <alignment horizontal="center" wrapText="1"/>
    </xf>
    <xf numFmtId="3" fontId="143" fillId="0" borderId="0" xfId="0" applyNumberFormat="1" applyFont="1"/>
    <xf numFmtId="0" fontId="105" fillId="0" borderId="0" xfId="46" applyFont="1" applyAlignment="1">
      <alignment horizontal="center" vertical="center" wrapText="1"/>
    </xf>
    <xf numFmtId="0" fontId="105" fillId="0" borderId="0" xfId="46" applyFont="1" applyAlignment="1">
      <alignment horizontal="right" vertical="center"/>
    </xf>
    <xf numFmtId="49" fontId="14" fillId="0" borderId="63" xfId="0" applyNumberFormat="1" applyFont="1" applyFill="1" applyBorder="1" applyAlignment="1">
      <alignment horizontal="center" vertical="center" wrapText="1"/>
    </xf>
    <xf numFmtId="49" fontId="59" fillId="0" borderId="60" xfId="0" applyNumberFormat="1" applyFont="1" applyBorder="1" applyAlignment="1">
      <alignment vertical="center"/>
    </xf>
    <xf numFmtId="49" fontId="59" fillId="0" borderId="60" xfId="0" applyNumberFormat="1" applyFont="1" applyFill="1" applyBorder="1" applyAlignment="1">
      <alignment vertical="center"/>
    </xf>
    <xf numFmtId="49" fontId="59" fillId="0" borderId="65" xfId="0" applyNumberFormat="1" applyFont="1" applyFill="1" applyBorder="1" applyAlignment="1">
      <alignment vertical="center"/>
    </xf>
    <xf numFmtId="49" fontId="58" fillId="26" borderId="11" xfId="0" applyNumberFormat="1" applyFont="1" applyFill="1" applyBorder="1" applyAlignment="1">
      <alignment vertical="center"/>
    </xf>
    <xf numFmtId="49" fontId="59" fillId="0" borderId="63" xfId="0" applyNumberFormat="1" applyFont="1" applyBorder="1" applyAlignment="1">
      <alignment vertical="center"/>
    </xf>
    <xf numFmtId="49" fontId="59" fillId="0" borderId="25" xfId="0" applyNumberFormat="1" applyFont="1" applyBorder="1" applyAlignment="1">
      <alignment vertical="center"/>
    </xf>
    <xf numFmtId="49" fontId="58" fillId="24" borderId="11" xfId="0" applyNumberFormat="1" applyFont="1" applyFill="1" applyBorder="1" applyAlignment="1">
      <alignment vertical="center"/>
    </xf>
    <xf numFmtId="49" fontId="14" fillId="0" borderId="43" xfId="0" applyNumberFormat="1" applyFont="1" applyFill="1" applyBorder="1" applyAlignment="1">
      <alignment horizontal="center" vertical="center" wrapText="1"/>
    </xf>
    <xf numFmtId="49" fontId="59" fillId="0" borderId="27" xfId="0" applyNumberFormat="1" applyFont="1" applyFill="1" applyBorder="1" applyAlignment="1">
      <alignment horizontal="center" vertical="center"/>
    </xf>
    <xf numFmtId="49" fontId="59" fillId="0" borderId="10" xfId="0" applyNumberFormat="1" applyFont="1" applyFill="1" applyBorder="1" applyAlignment="1">
      <alignment vertical="center"/>
    </xf>
    <xf numFmtId="49" fontId="58" fillId="26" borderId="27" xfId="0" applyNumberFormat="1" applyFont="1" applyFill="1" applyBorder="1" applyAlignment="1">
      <alignment horizontal="center" vertical="center"/>
    </xf>
    <xf numFmtId="49" fontId="58" fillId="26" borderId="10" xfId="0" applyNumberFormat="1" applyFont="1" applyFill="1" applyBorder="1" applyAlignment="1">
      <alignment vertical="center"/>
    </xf>
    <xf numFmtId="49" fontId="59" fillId="0" borderId="27" xfId="0" applyNumberFormat="1" applyFont="1" applyBorder="1" applyAlignment="1">
      <alignment horizontal="center" vertical="center"/>
    </xf>
    <xf numFmtId="49" fontId="59" fillId="0" borderId="10" xfId="0" applyNumberFormat="1" applyFont="1" applyBorder="1" applyAlignment="1">
      <alignment vertical="center"/>
    </xf>
    <xf numFmtId="49" fontId="58" fillId="24" borderId="34" xfId="0" applyNumberFormat="1" applyFont="1" applyFill="1" applyBorder="1" applyAlignment="1">
      <alignment horizontal="center" vertical="center"/>
    </xf>
    <xf numFmtId="49" fontId="58" fillId="24" borderId="35" xfId="0" applyNumberFormat="1" applyFont="1" applyFill="1" applyBorder="1" applyAlignment="1">
      <alignment vertical="center"/>
    </xf>
    <xf numFmtId="3" fontId="108" fillId="0" borderId="30" xfId="0" applyNumberFormat="1" applyFont="1" applyFill="1" applyBorder="1" applyAlignment="1">
      <alignment horizontal="right"/>
    </xf>
    <xf numFmtId="3" fontId="138" fillId="0" borderId="28" xfId="0" applyNumberFormat="1" applyFont="1" applyFill="1" applyBorder="1" applyAlignment="1">
      <alignment horizontal="right"/>
    </xf>
    <xf numFmtId="3" fontId="139" fillId="29" borderId="28" xfId="0" applyNumberFormat="1" applyFont="1" applyFill="1" applyBorder="1" applyAlignment="1">
      <alignment horizontal="right"/>
    </xf>
    <xf numFmtId="3" fontId="139" fillId="29" borderId="29" xfId="0" applyNumberFormat="1" applyFont="1" applyFill="1" applyBorder="1" applyAlignment="1">
      <alignment horizontal="right"/>
    </xf>
    <xf numFmtId="3" fontId="139" fillId="24" borderId="17" xfId="0" applyNumberFormat="1" applyFont="1" applyFill="1" applyBorder="1" applyAlignment="1">
      <alignment horizontal="right"/>
    </xf>
    <xf numFmtId="0" fontId="92" fillId="0" borderId="19" xfId="46" applyFont="1" applyFill="1" applyBorder="1" applyAlignment="1">
      <alignment horizontal="center" vertical="center" wrapText="1"/>
    </xf>
    <xf numFmtId="0" fontId="92" fillId="0" borderId="17" xfId="46" applyFont="1" applyFill="1" applyBorder="1" applyAlignment="1">
      <alignment horizontal="center" vertical="center" wrapText="1"/>
    </xf>
    <xf numFmtId="168" fontId="109" fillId="0" borderId="19" xfId="68" applyNumberFormat="1" applyFont="1" applyFill="1" applyBorder="1" applyAlignment="1">
      <alignment horizontal="center" vertical="center"/>
    </xf>
    <xf numFmtId="0" fontId="57" fillId="0" borderId="10" xfId="72" applyFont="1" applyBorder="1" applyAlignment="1">
      <alignment horizontal="center"/>
    </xf>
    <xf numFmtId="0" fontId="57" fillId="0" borderId="10" xfId="72" applyFont="1" applyBorder="1" applyAlignment="1">
      <alignment vertical="center"/>
    </xf>
    <xf numFmtId="0" fontId="57" fillId="0" borderId="23" xfId="72" applyFont="1" applyBorder="1" applyAlignment="1">
      <alignment vertical="center"/>
    </xf>
    <xf numFmtId="0" fontId="57" fillId="0" borderId="10" xfId="59" applyFont="1" applyBorder="1" applyAlignment="1">
      <alignment vertical="center"/>
    </xf>
    <xf numFmtId="2" fontId="57" fillId="0" borderId="10" xfId="59" applyNumberFormat="1" applyFont="1" applyBorder="1" applyAlignment="1">
      <alignment vertical="center"/>
    </xf>
    <xf numFmtId="2" fontId="57" fillId="0" borderId="10" xfId="59" applyNumberFormat="1" applyFont="1" applyBorder="1" applyAlignment="1">
      <alignment horizontal="right" vertical="center"/>
    </xf>
    <xf numFmtId="0" fontId="65" fillId="0" borderId="17" xfId="46" applyFont="1" applyBorder="1" applyAlignment="1">
      <alignment horizontal="center" vertical="center" wrapText="1"/>
    </xf>
    <xf numFmtId="3" fontId="134" fillId="29" borderId="17" xfId="0" applyNumberFormat="1" applyFont="1" applyFill="1" applyBorder="1" applyAlignment="1">
      <alignment horizontal="right"/>
    </xf>
    <xf numFmtId="3" fontId="67" fillId="0" borderId="30" xfId="0" applyNumberFormat="1" applyFont="1" applyBorder="1" applyAlignment="1">
      <alignment horizontal="right"/>
    </xf>
    <xf numFmtId="3" fontId="108" fillId="0" borderId="28" xfId="46" applyNumberFormat="1" applyFont="1" applyBorder="1"/>
    <xf numFmtId="3" fontId="67" fillId="0" borderId="17" xfId="0" applyNumberFormat="1" applyFont="1" applyFill="1" applyBorder="1" applyAlignment="1">
      <alignment horizontal="right" vertical="center"/>
    </xf>
    <xf numFmtId="0" fontId="59" fillId="0" borderId="19" xfId="0" applyFont="1" applyFill="1" applyBorder="1" applyAlignment="1">
      <alignment horizontal="left" vertical="center" wrapText="1"/>
    </xf>
    <xf numFmtId="0" fontId="21" fillId="0" borderId="67" xfId="0" applyFont="1" applyFill="1" applyBorder="1" applyAlignment="1">
      <alignment horizontal="center" vertical="center" wrapText="1"/>
    </xf>
    <xf numFmtId="0" fontId="18" fillId="0" borderId="67" xfId="0" applyFont="1" applyFill="1" applyBorder="1" applyAlignment="1">
      <alignment horizontal="center" vertical="center" wrapText="1"/>
    </xf>
    <xf numFmtId="49" fontId="83" fillId="29" borderId="11" xfId="0" applyNumberFormat="1" applyFont="1" applyFill="1" applyBorder="1" applyAlignment="1">
      <alignment horizontal="center" vertical="center"/>
    </xf>
    <xf numFmtId="49" fontId="82" fillId="0" borderId="59" xfId="0" applyNumberFormat="1" applyFont="1" applyFill="1" applyBorder="1" applyAlignment="1">
      <alignment horizontal="center" vertical="center"/>
    </xf>
    <xf numFmtId="49" fontId="82" fillId="0" borderId="60" xfId="0" applyNumberFormat="1" applyFont="1" applyFill="1" applyBorder="1" applyAlignment="1">
      <alignment horizontal="center" vertical="center"/>
    </xf>
    <xf numFmtId="167" fontId="82" fillId="0" borderId="59" xfId="0" applyNumberFormat="1" applyFont="1" applyFill="1" applyBorder="1" applyAlignment="1">
      <alignment horizontal="center" vertical="center"/>
    </xf>
    <xf numFmtId="49" fontId="21" fillId="29" borderId="11" xfId="0" applyNumberFormat="1" applyFont="1" applyFill="1" applyBorder="1" applyAlignment="1">
      <alignment horizontal="center" vertical="center"/>
    </xf>
    <xf numFmtId="49" fontId="83" fillId="24" borderId="11" xfId="0" applyNumberFormat="1" applyFont="1" applyFill="1" applyBorder="1" applyAlignment="1">
      <alignment horizontal="center" vertical="center"/>
    </xf>
    <xf numFmtId="167" fontId="82" fillId="0" borderId="66" xfId="0" applyNumberFormat="1" applyFont="1" applyFill="1" applyBorder="1" applyAlignment="1">
      <alignment horizontal="center" vertical="center"/>
    </xf>
    <xf numFmtId="49" fontId="82" fillId="0" borderId="25" xfId="0" applyNumberFormat="1" applyFont="1" applyFill="1" applyBorder="1" applyAlignment="1">
      <alignment horizontal="center" vertical="center"/>
    </xf>
    <xf numFmtId="3" fontId="152" fillId="0" borderId="0" xfId="0" applyNumberFormat="1" applyFont="1" applyFill="1" applyBorder="1" applyAlignment="1">
      <alignment horizontal="right" vertical="center"/>
    </xf>
    <xf numFmtId="3" fontId="108" fillId="0" borderId="28" xfId="46" applyNumberFormat="1" applyFont="1" applyFill="1" applyBorder="1" applyAlignment="1">
      <alignment horizontal="right" vertical="center" wrapText="1"/>
    </xf>
    <xf numFmtId="3" fontId="103" fillId="0" borderId="16" xfId="50" applyNumberFormat="1" applyFont="1" applyBorder="1"/>
    <xf numFmtId="0" fontId="103" fillId="0" borderId="16" xfId="50" applyFont="1" applyBorder="1"/>
    <xf numFmtId="3" fontId="104" fillId="29" borderId="16" xfId="50" applyNumberFormat="1" applyFont="1" applyFill="1" applyBorder="1"/>
    <xf numFmtId="3" fontId="103" fillId="0" borderId="16" xfId="50" applyNumberFormat="1" applyFont="1" applyFill="1" applyBorder="1"/>
    <xf numFmtId="3" fontId="147" fillId="0" borderId="16" xfId="50" applyNumberFormat="1" applyFont="1" applyFill="1" applyBorder="1"/>
    <xf numFmtId="3" fontId="104" fillId="26" borderId="16" xfId="50" applyNumberFormat="1" applyFont="1" applyFill="1" applyBorder="1"/>
    <xf numFmtId="3" fontId="148" fillId="24" borderId="44" xfId="50" applyNumberFormat="1" applyFont="1" applyFill="1" applyBorder="1"/>
    <xf numFmtId="3" fontId="161" fillId="0" borderId="10" xfId="68" applyNumberFormat="1" applyFont="1" applyFill="1" applyBorder="1" applyAlignment="1">
      <alignment horizontal="right" vertical="center"/>
    </xf>
    <xf numFmtId="3" fontId="161" fillId="0" borderId="28" xfId="68" applyNumberFormat="1" applyFont="1" applyFill="1" applyBorder="1" applyAlignment="1">
      <alignment horizontal="right" vertical="center"/>
    </xf>
    <xf numFmtId="3" fontId="161" fillId="0" borderId="10" xfId="0" applyNumberFormat="1" applyFont="1" applyFill="1" applyBorder="1" applyAlignment="1">
      <alignment horizontal="right" vertical="center"/>
    </xf>
    <xf numFmtId="3" fontId="162" fillId="29" borderId="10" xfId="0" applyNumberFormat="1" applyFont="1" applyFill="1" applyBorder="1" applyAlignment="1">
      <alignment horizontal="right" vertical="center"/>
    </xf>
    <xf numFmtId="3" fontId="162" fillId="29" borderId="28" xfId="0" applyNumberFormat="1" applyFont="1" applyFill="1" applyBorder="1" applyAlignment="1">
      <alignment horizontal="right" vertical="center"/>
    </xf>
    <xf numFmtId="3" fontId="161" fillId="0" borderId="28" xfId="0" applyNumberFormat="1" applyFont="1" applyFill="1" applyBorder="1" applyAlignment="1">
      <alignment horizontal="right" vertical="center"/>
    </xf>
    <xf numFmtId="3" fontId="162" fillId="29" borderId="23" xfId="0" applyNumberFormat="1" applyFont="1" applyFill="1" applyBorder="1" applyAlignment="1">
      <alignment horizontal="right" vertical="center"/>
    </xf>
    <xf numFmtId="3" fontId="162" fillId="24" borderId="19" xfId="0" applyNumberFormat="1" applyFont="1" applyFill="1" applyBorder="1" applyAlignment="1">
      <alignment horizontal="right" vertical="center"/>
    </xf>
    <xf numFmtId="167" fontId="49" fillId="29" borderId="61" xfId="0" applyNumberFormat="1" applyFont="1" applyFill="1" applyBorder="1" applyAlignment="1">
      <alignment horizontal="center" vertical="center"/>
    </xf>
    <xf numFmtId="167" fontId="49" fillId="29" borderId="49" xfId="0" applyNumberFormat="1" applyFont="1" applyFill="1" applyBorder="1" applyAlignment="1">
      <alignment vertical="center"/>
    </xf>
    <xf numFmtId="0" fontId="49" fillId="29" borderId="49" xfId="0" applyFont="1" applyFill="1" applyBorder="1" applyAlignment="1">
      <alignment horizontal="left" vertical="center" wrapText="1"/>
    </xf>
    <xf numFmtId="3" fontId="134" fillId="29" borderId="49" xfId="0" applyNumberFormat="1" applyFont="1" applyFill="1" applyBorder="1" applyAlignment="1">
      <alignment horizontal="right"/>
    </xf>
    <xf numFmtId="3" fontId="134" fillId="29" borderId="58" xfId="0" applyNumberFormat="1" applyFont="1" applyFill="1" applyBorder="1" applyAlignment="1">
      <alignment horizontal="right"/>
    </xf>
    <xf numFmtId="167" fontId="49" fillId="29" borderId="47" xfId="0" applyNumberFormat="1" applyFont="1" applyFill="1" applyBorder="1" applyAlignment="1">
      <alignment horizontal="center" vertical="center"/>
    </xf>
    <xf numFmtId="167" fontId="49" fillId="29" borderId="48" xfId="0" applyNumberFormat="1" applyFont="1" applyFill="1" applyBorder="1" applyAlignment="1">
      <alignment vertical="center"/>
    </xf>
    <xf numFmtId="0" fontId="49" fillId="29" borderId="48" xfId="0" applyFont="1" applyFill="1" applyBorder="1" applyAlignment="1">
      <alignment horizontal="left" vertical="center" wrapText="1"/>
    </xf>
    <xf numFmtId="3" fontId="134" fillId="29" borderId="48" xfId="0" applyNumberFormat="1" applyFont="1" applyFill="1" applyBorder="1" applyAlignment="1">
      <alignment horizontal="right"/>
    </xf>
    <xf numFmtId="3" fontId="134" fillId="29" borderId="52" xfId="0" applyNumberFormat="1" applyFont="1" applyFill="1" applyBorder="1" applyAlignment="1">
      <alignment horizontal="right"/>
    </xf>
    <xf numFmtId="167" fontId="19" fillId="0" borderId="10" xfId="0" applyNumberFormat="1" applyFont="1" applyFill="1" applyBorder="1" applyAlignment="1">
      <alignment vertical="center"/>
    </xf>
    <xf numFmtId="0" fontId="161" fillId="0" borderId="0" xfId="0" applyFont="1"/>
    <xf numFmtId="3" fontId="67" fillId="0" borderId="10" xfId="0" applyNumberFormat="1" applyFont="1" applyFill="1" applyBorder="1" applyAlignment="1">
      <alignment horizontal="right"/>
    </xf>
    <xf numFmtId="0" fontId="21" fillId="0" borderId="32" xfId="0" applyFont="1" applyBorder="1" applyAlignment="1">
      <alignment horizontal="center"/>
    </xf>
    <xf numFmtId="0" fontId="50" fillId="0" borderId="0" xfId="0" applyFont="1" applyAlignment="1">
      <alignment horizontal="center"/>
    </xf>
    <xf numFmtId="0" fontId="0" fillId="0" borderId="0" xfId="0" applyAlignment="1"/>
    <xf numFmtId="0" fontId="116" fillId="0" borderId="0" xfId="0" applyFont="1" applyAlignment="1">
      <alignment horizontal="center"/>
    </xf>
    <xf numFmtId="3" fontId="162" fillId="24" borderId="0" xfId="0" applyNumberFormat="1" applyFont="1" applyFill="1" applyBorder="1" applyAlignment="1">
      <alignment horizontal="right" vertical="center"/>
    </xf>
    <xf numFmtId="3" fontId="102" fillId="0" borderId="16" xfId="46" applyNumberFormat="1" applyFont="1" applyBorder="1" applyAlignment="1">
      <alignment vertical="center"/>
    </xf>
    <xf numFmtId="3" fontId="116" fillId="0" borderId="16" xfId="46" applyNumberFormat="1" applyFont="1" applyBorder="1" applyAlignment="1">
      <alignment vertical="center"/>
    </xf>
    <xf numFmtId="3" fontId="116" fillId="24" borderId="44" xfId="46" applyNumberFormat="1" applyFont="1" applyFill="1" applyBorder="1" applyAlignment="1">
      <alignment vertical="center"/>
    </xf>
    <xf numFmtId="3" fontId="102" fillId="0" borderId="16" xfId="46" applyNumberFormat="1" applyFont="1" applyFill="1" applyBorder="1" applyAlignment="1">
      <alignment vertical="center"/>
    </xf>
    <xf numFmtId="3" fontId="116" fillId="0" borderId="16" xfId="46" applyNumberFormat="1" applyFont="1" applyFill="1" applyBorder="1" applyAlignment="1">
      <alignment vertical="center"/>
    </xf>
    <xf numFmtId="3" fontId="149" fillId="0" borderId="28" xfId="46" applyNumberFormat="1" applyFont="1" applyBorder="1"/>
    <xf numFmtId="3" fontId="109" fillId="24" borderId="10" xfId="46" applyNumberFormat="1" applyFont="1" applyFill="1" applyBorder="1"/>
    <xf numFmtId="3" fontId="145" fillId="0" borderId="28" xfId="46" applyNumberFormat="1" applyFont="1" applyBorder="1"/>
    <xf numFmtId="3" fontId="108" fillId="0" borderId="16" xfId="46" applyNumberFormat="1" applyFont="1" applyBorder="1"/>
    <xf numFmtId="3" fontId="149" fillId="0" borderId="16" xfId="46" applyNumberFormat="1" applyFont="1" applyBorder="1"/>
    <xf numFmtId="3" fontId="145" fillId="0" borderId="16" xfId="46" applyNumberFormat="1" applyFont="1" applyFill="1" applyBorder="1"/>
    <xf numFmtId="3" fontId="108" fillId="0" borderId="16" xfId="46" applyNumberFormat="1" applyFont="1" applyFill="1" applyBorder="1"/>
    <xf numFmtId="3" fontId="145" fillId="0" borderId="16" xfId="46" applyNumberFormat="1" applyFont="1" applyBorder="1"/>
    <xf numFmtId="3" fontId="108" fillId="0" borderId="27" xfId="46" applyNumberFormat="1" applyFont="1" applyBorder="1"/>
    <xf numFmtId="3" fontId="109" fillId="24" borderId="27" xfId="46" applyNumberFormat="1" applyFont="1" applyFill="1" applyBorder="1"/>
    <xf numFmtId="3" fontId="108" fillId="0" borderId="53" xfId="46" applyNumberFormat="1" applyFont="1" applyBorder="1"/>
    <xf numFmtId="3" fontId="149" fillId="0" borderId="53" xfId="46" applyNumberFormat="1" applyFont="1" applyBorder="1"/>
    <xf numFmtId="3" fontId="145" fillId="0" borderId="53" xfId="46" applyNumberFormat="1" applyFont="1" applyFill="1" applyBorder="1"/>
    <xf numFmtId="3" fontId="108" fillId="0" borderId="53" xfId="46" applyNumberFormat="1" applyFont="1" applyFill="1" applyBorder="1"/>
    <xf numFmtId="3" fontId="109" fillId="24" borderId="53" xfId="46" applyNumberFormat="1" applyFont="1" applyFill="1" applyBorder="1"/>
    <xf numFmtId="3" fontId="145" fillId="0" borderId="53" xfId="46" applyNumberFormat="1" applyFont="1" applyBorder="1"/>
    <xf numFmtId="3" fontId="67" fillId="0" borderId="30" xfId="47" applyNumberFormat="1" applyFont="1" applyFill="1" applyBorder="1" applyAlignment="1">
      <alignment horizontal="right" vertical="center" wrapText="1"/>
    </xf>
    <xf numFmtId="3" fontId="57" fillId="0" borderId="30" xfId="47" applyNumberFormat="1" applyFont="1" applyFill="1" applyBorder="1" applyAlignment="1">
      <alignment horizontal="right" vertical="center" wrapText="1"/>
    </xf>
    <xf numFmtId="0" fontId="67" fillId="0" borderId="27" xfId="0" applyFont="1" applyFill="1" applyBorder="1" applyAlignment="1">
      <alignment horizontal="center" vertical="center"/>
    </xf>
    <xf numFmtId="49" fontId="67" fillId="0" borderId="27" xfId="0" applyNumberFormat="1" applyFont="1" applyFill="1" applyBorder="1" applyAlignment="1">
      <alignment horizontal="center" vertical="center"/>
    </xf>
    <xf numFmtId="3" fontId="67" fillId="0" borderId="16" xfId="0" applyNumberFormat="1" applyFont="1" applyBorder="1" applyAlignment="1">
      <alignment horizontal="right" vertical="center"/>
    </xf>
    <xf numFmtId="3" fontId="67" fillId="0" borderId="16" xfId="0" applyNumberFormat="1" applyFont="1" applyFill="1" applyBorder="1" applyAlignment="1">
      <alignment horizontal="right" vertical="center"/>
    </xf>
    <xf numFmtId="49" fontId="67" fillId="0" borderId="31" xfId="0" applyNumberFormat="1" applyFont="1" applyFill="1" applyBorder="1" applyAlignment="1">
      <alignment horizontal="center" vertical="center"/>
    </xf>
    <xf numFmtId="0" fontId="67" fillId="0" borderId="23" xfId="0" applyFont="1" applyFill="1" applyBorder="1" applyAlignment="1">
      <alignment horizontal="center" vertical="center"/>
    </xf>
    <xf numFmtId="3" fontId="67" fillId="0" borderId="40" xfId="0" applyNumberFormat="1" applyFont="1" applyFill="1" applyBorder="1" applyAlignment="1">
      <alignment horizontal="right" vertical="center"/>
    </xf>
    <xf numFmtId="167" fontId="19" fillId="0" borderId="27" xfId="0" applyNumberFormat="1" applyFont="1" applyFill="1" applyBorder="1" applyAlignment="1">
      <alignment horizontal="center" vertical="center"/>
    </xf>
    <xf numFmtId="3" fontId="67" fillId="0" borderId="28" xfId="0" applyNumberFormat="1" applyFont="1" applyBorder="1" applyAlignment="1">
      <alignment horizontal="right"/>
    </xf>
    <xf numFmtId="0" fontId="65" fillId="0" borderId="51" xfId="46" applyFont="1" applyBorder="1" applyAlignment="1">
      <alignment horizontal="center" vertical="center" wrapText="1"/>
    </xf>
    <xf numFmtId="3" fontId="134" fillId="29" borderId="51" xfId="0" applyNumberFormat="1" applyFont="1" applyFill="1" applyBorder="1" applyAlignment="1">
      <alignment horizontal="right"/>
    </xf>
    <xf numFmtId="3" fontId="67" fillId="0" borderId="15" xfId="0" applyNumberFormat="1" applyFont="1" applyBorder="1" applyAlignment="1">
      <alignment horizontal="right"/>
    </xf>
    <xf numFmtId="3" fontId="67" fillId="0" borderId="16" xfId="0" applyNumberFormat="1" applyFont="1" applyBorder="1" applyAlignment="1">
      <alignment horizontal="right"/>
    </xf>
    <xf numFmtId="3" fontId="134" fillId="29" borderId="68" xfId="0" applyNumberFormat="1" applyFont="1" applyFill="1" applyBorder="1" applyAlignment="1">
      <alignment horizontal="right"/>
    </xf>
    <xf numFmtId="3" fontId="134" fillId="29" borderId="69" xfId="0" applyNumberFormat="1" applyFont="1" applyFill="1" applyBorder="1" applyAlignment="1">
      <alignment horizontal="right"/>
    </xf>
    <xf numFmtId="3" fontId="134" fillId="24" borderId="51" xfId="0" applyNumberFormat="1" applyFont="1" applyFill="1" applyBorder="1" applyAlignment="1">
      <alignment horizontal="right"/>
    </xf>
    <xf numFmtId="0" fontId="65" fillId="0" borderId="18" xfId="46" applyFont="1" applyBorder="1" applyAlignment="1">
      <alignment horizontal="center" vertical="center" wrapText="1"/>
    </xf>
    <xf numFmtId="3" fontId="134" fillId="29" borderId="18" xfId="0" applyNumberFormat="1" applyFont="1" applyFill="1" applyBorder="1" applyAlignment="1">
      <alignment horizontal="right"/>
    </xf>
    <xf numFmtId="3" fontId="67" fillId="0" borderId="26" xfId="0" applyNumberFormat="1" applyFont="1" applyBorder="1" applyAlignment="1">
      <alignment horizontal="right"/>
    </xf>
    <xf numFmtId="3" fontId="134" fillId="29" borderId="61" xfId="0" applyNumberFormat="1" applyFont="1" applyFill="1" applyBorder="1" applyAlignment="1">
      <alignment horizontal="right"/>
    </xf>
    <xf numFmtId="3" fontId="67" fillId="0" borderId="27" xfId="0" applyNumberFormat="1" applyFont="1" applyBorder="1" applyAlignment="1">
      <alignment horizontal="right"/>
    </xf>
    <xf numFmtId="3" fontId="134" fillId="29" borderId="47" xfId="0" applyNumberFormat="1" applyFont="1" applyFill="1" applyBorder="1" applyAlignment="1">
      <alignment horizontal="right"/>
    </xf>
    <xf numFmtId="3" fontId="134" fillId="24" borderId="18" xfId="0" applyNumberFormat="1" applyFont="1" applyFill="1" applyBorder="1" applyAlignment="1">
      <alignment horizontal="right"/>
    </xf>
    <xf numFmtId="0" fontId="65" fillId="0" borderId="45" xfId="46" applyFont="1" applyBorder="1" applyAlignment="1">
      <alignment horizontal="center" vertical="center" wrapText="1"/>
    </xf>
    <xf numFmtId="3" fontId="134" fillId="29" borderId="45" xfId="0" applyNumberFormat="1" applyFont="1" applyFill="1" applyBorder="1" applyAlignment="1">
      <alignment horizontal="right"/>
    </xf>
    <xf numFmtId="3" fontId="67" fillId="0" borderId="55" xfId="0" applyNumberFormat="1" applyFont="1" applyBorder="1" applyAlignment="1">
      <alignment horizontal="right"/>
    </xf>
    <xf numFmtId="3" fontId="67" fillId="0" borderId="53" xfId="0" applyNumberFormat="1" applyFont="1" applyBorder="1" applyAlignment="1">
      <alignment horizontal="right"/>
    </xf>
    <xf numFmtId="3" fontId="134" fillId="29" borderId="70" xfId="0" applyNumberFormat="1" applyFont="1" applyFill="1" applyBorder="1" applyAlignment="1">
      <alignment horizontal="right"/>
    </xf>
    <xf numFmtId="3" fontId="134" fillId="29" borderId="56" xfId="0" applyNumberFormat="1" applyFont="1" applyFill="1" applyBorder="1" applyAlignment="1">
      <alignment horizontal="right"/>
    </xf>
    <xf numFmtId="3" fontId="134" fillId="24" borderId="45" xfId="0" applyNumberFormat="1" applyFont="1" applyFill="1" applyBorder="1" applyAlignment="1">
      <alignment horizontal="right"/>
    </xf>
    <xf numFmtId="3" fontId="152" fillId="0" borderId="16" xfId="68" applyNumberFormat="1" applyFont="1" applyFill="1" applyBorder="1" applyAlignment="1">
      <alignment horizontal="right" vertical="center"/>
    </xf>
    <xf numFmtId="3" fontId="153" fillId="29" borderId="16" xfId="0" applyNumberFormat="1" applyFont="1" applyFill="1" applyBorder="1" applyAlignment="1">
      <alignment horizontal="right" vertical="center"/>
    </xf>
    <xf numFmtId="3" fontId="152" fillId="34" borderId="16" xfId="0" applyNumberFormat="1" applyFont="1" applyFill="1" applyBorder="1" applyAlignment="1">
      <alignment horizontal="right" vertical="center"/>
    </xf>
    <xf numFmtId="3" fontId="152" fillId="0" borderId="16" xfId="0" applyNumberFormat="1" applyFont="1" applyFill="1" applyBorder="1" applyAlignment="1">
      <alignment horizontal="right" vertical="center"/>
    </xf>
    <xf numFmtId="3" fontId="153" fillId="29" borderId="40" xfId="0" applyNumberFormat="1" applyFont="1" applyFill="1" applyBorder="1" applyAlignment="1">
      <alignment horizontal="right" vertical="center"/>
    </xf>
    <xf numFmtId="3" fontId="153" fillId="24" borderId="51" xfId="0" applyNumberFormat="1" applyFont="1" applyFill="1" applyBorder="1" applyAlignment="1">
      <alignment horizontal="right" vertical="center"/>
    </xf>
    <xf numFmtId="3" fontId="161" fillId="0" borderId="27" xfId="68" applyNumberFormat="1" applyFont="1" applyFill="1" applyBorder="1" applyAlignment="1">
      <alignment horizontal="right" vertical="center"/>
    </xf>
    <xf numFmtId="3" fontId="162" fillId="29" borderId="27" xfId="0" applyNumberFormat="1" applyFont="1" applyFill="1" applyBorder="1" applyAlignment="1">
      <alignment horizontal="right" vertical="center"/>
    </xf>
    <xf numFmtId="3" fontId="161" fillId="0" borderId="27" xfId="0" applyNumberFormat="1" applyFont="1" applyFill="1" applyBorder="1" applyAlignment="1">
      <alignment horizontal="right" vertical="center"/>
    </xf>
    <xf numFmtId="3" fontId="162" fillId="29" borderId="31" xfId="0" applyNumberFormat="1" applyFont="1" applyFill="1" applyBorder="1" applyAlignment="1">
      <alignment horizontal="right" vertical="center"/>
    </xf>
    <xf numFmtId="3" fontId="162" fillId="24" borderId="18" xfId="0" applyNumberFormat="1" applyFont="1" applyFill="1" applyBorder="1" applyAlignment="1">
      <alignment horizontal="right" vertical="center"/>
    </xf>
    <xf numFmtId="3" fontId="162" fillId="0" borderId="53" xfId="46" applyNumberFormat="1" applyFont="1" applyFill="1" applyBorder="1" applyAlignment="1">
      <alignment horizontal="right" vertical="center" wrapText="1"/>
    </xf>
    <xf numFmtId="3" fontId="162" fillId="29" borderId="53" xfId="0" applyNumberFormat="1" applyFont="1" applyFill="1" applyBorder="1" applyAlignment="1">
      <alignment horizontal="right" vertical="center"/>
    </xf>
    <xf numFmtId="3" fontId="161" fillId="34" borderId="53" xfId="0" applyNumberFormat="1" applyFont="1" applyFill="1" applyBorder="1" applyAlignment="1">
      <alignment horizontal="right" vertical="center"/>
    </xf>
    <xf numFmtId="3" fontId="161" fillId="34" borderId="53" xfId="30" applyNumberFormat="1" applyFont="1" applyFill="1" applyBorder="1" applyAlignment="1">
      <alignment horizontal="right" vertical="center"/>
    </xf>
    <xf numFmtId="3" fontId="161" fillId="0" borderId="53" xfId="59" applyNumberFormat="1" applyFont="1" applyFill="1" applyBorder="1" applyAlignment="1">
      <alignment horizontal="right" vertical="center"/>
    </xf>
    <xf numFmtId="3" fontId="161" fillId="34" borderId="53" xfId="59" applyNumberFormat="1" applyFont="1" applyFill="1" applyBorder="1" applyAlignment="1">
      <alignment horizontal="right" vertical="center"/>
    </xf>
    <xf numFmtId="3" fontId="162" fillId="34" borderId="53" xfId="0" applyNumberFormat="1" applyFont="1" applyFill="1" applyBorder="1" applyAlignment="1">
      <alignment horizontal="right" vertical="center"/>
    </xf>
    <xf numFmtId="3" fontId="162" fillId="29" borderId="41" xfId="0" applyNumberFormat="1" applyFont="1" applyFill="1" applyBorder="1" applyAlignment="1">
      <alignment horizontal="right" vertical="center"/>
    </xf>
    <xf numFmtId="3" fontId="162" fillId="24" borderId="45" xfId="0" applyNumberFormat="1" applyFont="1" applyFill="1" applyBorder="1" applyAlignment="1">
      <alignment horizontal="right" vertical="center"/>
    </xf>
    <xf numFmtId="3" fontId="108" fillId="0" borderId="15" xfId="0" applyNumberFormat="1" applyFont="1" applyFill="1" applyBorder="1" applyAlignment="1">
      <alignment horizontal="right"/>
    </xf>
    <xf numFmtId="3" fontId="138" fillId="0" borderId="16" xfId="0" applyNumberFormat="1" applyFont="1" applyFill="1" applyBorder="1" applyAlignment="1">
      <alignment horizontal="right"/>
    </xf>
    <xf numFmtId="3" fontId="139" fillId="29" borderId="16" xfId="0" applyNumberFormat="1" applyFont="1" applyFill="1" applyBorder="1" applyAlignment="1">
      <alignment horizontal="right"/>
    </xf>
    <xf numFmtId="3" fontId="139" fillId="29" borderId="40" xfId="0" applyNumberFormat="1" applyFont="1" applyFill="1" applyBorder="1" applyAlignment="1">
      <alignment horizontal="right"/>
    </xf>
    <xf numFmtId="3" fontId="139" fillId="24" borderId="51" xfId="0" applyNumberFormat="1" applyFont="1" applyFill="1" applyBorder="1" applyAlignment="1">
      <alignment horizontal="right"/>
    </xf>
    <xf numFmtId="0" fontId="92" fillId="0" borderId="18" xfId="46" applyFont="1" applyFill="1" applyBorder="1" applyAlignment="1">
      <alignment horizontal="center" vertical="center" wrapText="1"/>
    </xf>
    <xf numFmtId="3" fontId="108" fillId="0" borderId="26" xfId="0" applyNumberFormat="1" applyFont="1" applyFill="1" applyBorder="1" applyAlignment="1">
      <alignment horizontal="right"/>
    </xf>
    <xf numFmtId="3" fontId="138" fillId="0" borderId="27" xfId="0" applyNumberFormat="1" applyFont="1" applyFill="1" applyBorder="1" applyAlignment="1">
      <alignment horizontal="right"/>
    </xf>
    <xf numFmtId="3" fontId="139" fillId="29" borderId="27" xfId="0" applyNumberFormat="1" applyFont="1" applyFill="1" applyBorder="1" applyAlignment="1">
      <alignment horizontal="right"/>
    </xf>
    <xf numFmtId="3" fontId="139" fillId="29" borderId="31" xfId="0" applyNumberFormat="1" applyFont="1" applyFill="1" applyBorder="1" applyAlignment="1">
      <alignment horizontal="right"/>
    </xf>
    <xf numFmtId="3" fontId="139" fillId="24" borderId="18" xfId="0" applyNumberFormat="1" applyFont="1" applyFill="1" applyBorder="1" applyAlignment="1">
      <alignment horizontal="right"/>
    </xf>
    <xf numFmtId="0" fontId="50" fillId="0" borderId="51" xfId="46" applyFont="1" applyFill="1" applyBorder="1" applyAlignment="1">
      <alignment horizontal="center" vertical="center" wrapText="1"/>
    </xf>
    <xf numFmtId="0" fontId="92" fillId="0" borderId="45" xfId="46" applyFont="1" applyFill="1" applyBorder="1" applyAlignment="1">
      <alignment horizontal="center" vertical="center" wrapText="1"/>
    </xf>
    <xf numFmtId="3" fontId="108" fillId="0" borderId="55" xfId="0" applyNumberFormat="1" applyFont="1" applyFill="1" applyBorder="1" applyAlignment="1">
      <alignment horizontal="right"/>
    </xf>
    <xf numFmtId="3" fontId="138" fillId="0" borderId="53" xfId="0" applyNumberFormat="1" applyFont="1" applyFill="1" applyBorder="1" applyAlignment="1">
      <alignment horizontal="right"/>
    </xf>
    <xf numFmtId="3" fontId="139" fillId="29" borderId="53" xfId="0" applyNumberFormat="1" applyFont="1" applyFill="1" applyBorder="1" applyAlignment="1">
      <alignment horizontal="right"/>
    </xf>
    <xf numFmtId="3" fontId="139" fillId="29" borderId="41" xfId="0" applyNumberFormat="1" applyFont="1" applyFill="1" applyBorder="1" applyAlignment="1">
      <alignment horizontal="right"/>
    </xf>
    <xf numFmtId="3" fontId="139" fillId="24" borderId="45" xfId="0" applyNumberFormat="1" applyFont="1" applyFill="1" applyBorder="1" applyAlignment="1">
      <alignment horizontal="right"/>
    </xf>
    <xf numFmtId="4" fontId="67" fillId="0" borderId="28" xfId="0" applyNumberFormat="1" applyFont="1" applyFill="1" applyBorder="1" applyAlignment="1">
      <alignment horizontal="right" vertical="center"/>
    </xf>
    <xf numFmtId="3" fontId="57" fillId="0" borderId="24" xfId="0" applyNumberFormat="1" applyFont="1" applyBorder="1" applyAlignment="1">
      <alignment horizontal="right"/>
    </xf>
    <xf numFmtId="4" fontId="108" fillId="0" borderId="10" xfId="64" applyNumberFormat="1" applyFont="1" applyFill="1" applyBorder="1" applyAlignment="1">
      <alignment horizontal="right" vertical="center" wrapText="1"/>
    </xf>
    <xf numFmtId="4" fontId="109" fillId="24" borderId="10" xfId="64" applyNumberFormat="1" applyFont="1" applyFill="1" applyBorder="1" applyAlignment="1">
      <alignment horizontal="right" vertical="center" wrapText="1"/>
    </xf>
    <xf numFmtId="0" fontId="50" fillId="0" borderId="0" xfId="0" applyFont="1" applyAlignment="1">
      <alignment horizontal="center"/>
    </xf>
    <xf numFmtId="0" fontId="50" fillId="0" borderId="0" xfId="69" applyFont="1" applyBorder="1" applyAlignment="1">
      <alignment horizontal="center" wrapText="1"/>
    </xf>
    <xf numFmtId="0" fontId="82" fillId="0" borderId="56" xfId="0" applyFont="1" applyBorder="1"/>
    <xf numFmtId="3" fontId="82" fillId="0" borderId="0" xfId="0" applyNumberFormat="1" applyFont="1" applyBorder="1"/>
    <xf numFmtId="3" fontId="82" fillId="0" borderId="56" xfId="0" applyNumberFormat="1" applyFont="1" applyBorder="1"/>
    <xf numFmtId="0" fontId="105" fillId="0" borderId="0" xfId="46" applyFont="1"/>
    <xf numFmtId="3" fontId="105" fillId="0" borderId="0" xfId="46" applyNumberFormat="1" applyFont="1"/>
    <xf numFmtId="3" fontId="108" fillId="0" borderId="10" xfId="46" applyNumberFormat="1" applyFont="1" applyFill="1" applyBorder="1"/>
    <xf numFmtId="4" fontId="108" fillId="0" borderId="10" xfId="46" applyNumberFormat="1" applyFont="1" applyFill="1" applyBorder="1"/>
    <xf numFmtId="4" fontId="149" fillId="0" borderId="10" xfId="46" applyNumberFormat="1" applyFont="1" applyFill="1" applyBorder="1"/>
    <xf numFmtId="4" fontId="145" fillId="0" borderId="10" xfId="46" applyNumberFormat="1" applyFont="1" applyFill="1" applyBorder="1"/>
    <xf numFmtId="4" fontId="109" fillId="24" borderId="10" xfId="46" applyNumberFormat="1" applyFont="1" applyFill="1" applyBorder="1"/>
    <xf numFmtId="4" fontId="109" fillId="24" borderId="28" xfId="46" applyNumberFormat="1" applyFont="1" applyFill="1" applyBorder="1"/>
    <xf numFmtId="4" fontId="67" fillId="0" borderId="10" xfId="0" applyNumberFormat="1" applyFont="1" applyFill="1" applyBorder="1" applyAlignment="1">
      <alignment horizontal="right"/>
    </xf>
    <xf numFmtId="4" fontId="134" fillId="29" borderId="48" xfId="0" applyNumberFormat="1" applyFont="1" applyFill="1" applyBorder="1" applyAlignment="1">
      <alignment horizontal="right"/>
    </xf>
    <xf numFmtId="4" fontId="134" fillId="24" borderId="19" xfId="0" applyNumberFormat="1" applyFont="1" applyFill="1" applyBorder="1" applyAlignment="1">
      <alignment horizontal="right"/>
    </xf>
    <xf numFmtId="4" fontId="67" fillId="0" borderId="24" xfId="0" applyNumberFormat="1" applyFont="1" applyBorder="1" applyAlignment="1">
      <alignment horizontal="right"/>
    </xf>
    <xf numFmtId="4" fontId="134" fillId="29" borderId="19" xfId="0" applyNumberFormat="1" applyFont="1" applyFill="1" applyBorder="1" applyAlignment="1">
      <alignment horizontal="right"/>
    </xf>
    <xf numFmtId="4" fontId="134" fillId="24" borderId="17" xfId="0" applyNumberFormat="1" applyFont="1" applyFill="1" applyBorder="1" applyAlignment="1">
      <alignment horizontal="right"/>
    </xf>
    <xf numFmtId="4" fontId="67" fillId="0" borderId="30" xfId="0" applyNumberFormat="1" applyFont="1" applyBorder="1" applyAlignment="1">
      <alignment horizontal="right"/>
    </xf>
    <xf numFmtId="4" fontId="92" fillId="24" borderId="17" xfId="0" applyNumberFormat="1" applyFont="1" applyFill="1" applyBorder="1" applyAlignment="1">
      <alignment horizontal="right"/>
    </xf>
    <xf numFmtId="0" fontId="163" fillId="0" borderId="10" xfId="47" applyFont="1" applyFill="1" applyBorder="1" applyAlignment="1">
      <alignment horizontal="left" vertical="center" wrapText="1"/>
    </xf>
    <xf numFmtId="4" fontId="161" fillId="0" borderId="10" xfId="68" applyNumberFormat="1" applyFont="1" applyFill="1" applyBorder="1" applyAlignment="1">
      <alignment horizontal="right" vertical="center"/>
    </xf>
    <xf numFmtId="4" fontId="161" fillId="0" borderId="10" xfId="0" applyNumberFormat="1" applyFont="1" applyFill="1" applyBorder="1" applyAlignment="1">
      <alignment horizontal="right" vertical="center"/>
    </xf>
    <xf numFmtId="4" fontId="162" fillId="29" borderId="10" xfId="0" applyNumberFormat="1" applyFont="1" applyFill="1" applyBorder="1" applyAlignment="1">
      <alignment horizontal="right" vertical="center"/>
    </xf>
    <xf numFmtId="4" fontId="162" fillId="29" borderId="23" xfId="0" applyNumberFormat="1" applyFont="1" applyFill="1" applyBorder="1" applyAlignment="1">
      <alignment horizontal="right" vertical="center"/>
    </xf>
    <xf numFmtId="4" fontId="162" fillId="24" borderId="19" xfId="0" applyNumberFormat="1" applyFont="1" applyFill="1" applyBorder="1" applyAlignment="1">
      <alignment horizontal="right" vertical="center"/>
    </xf>
    <xf numFmtId="4" fontId="161" fillId="0" borderId="28" xfId="68" applyNumberFormat="1" applyFont="1" applyFill="1" applyBorder="1" applyAlignment="1">
      <alignment horizontal="right" vertical="center"/>
    </xf>
    <xf numFmtId="4" fontId="162" fillId="29" borderId="28" xfId="0" applyNumberFormat="1" applyFont="1" applyFill="1" applyBorder="1" applyAlignment="1">
      <alignment horizontal="right" vertical="center"/>
    </xf>
    <xf numFmtId="4" fontId="138" fillId="0" borderId="28" xfId="0" applyNumberFormat="1" applyFont="1" applyFill="1" applyBorder="1" applyAlignment="1">
      <alignment horizontal="right"/>
    </xf>
    <xf numFmtId="4" fontId="139" fillId="29" borderId="28" xfId="0" applyNumberFormat="1" applyFont="1" applyFill="1" applyBorder="1" applyAlignment="1">
      <alignment horizontal="right"/>
    </xf>
    <xf numFmtId="4" fontId="139" fillId="24" borderId="17" xfId="0" applyNumberFormat="1" applyFont="1" applyFill="1" applyBorder="1" applyAlignment="1">
      <alignment horizontal="right"/>
    </xf>
    <xf numFmtId="172" fontId="5" fillId="0" borderId="0" xfId="85" applyNumberFormat="1"/>
    <xf numFmtId="0" fontId="8" fillId="0" borderId="0" xfId="85" applyFont="1"/>
    <xf numFmtId="0" fontId="5" fillId="0" borderId="0" xfId="85"/>
    <xf numFmtId="10" fontId="5" fillId="0" borderId="0" xfId="85" applyNumberFormat="1"/>
    <xf numFmtId="0" fontId="5" fillId="0" borderId="0" xfId="85" applyFont="1"/>
    <xf numFmtId="14" fontId="5" fillId="0" borderId="0" xfId="85" applyNumberFormat="1"/>
    <xf numFmtId="172" fontId="5" fillId="0" borderId="0" xfId="86" applyNumberFormat="1" applyFont="1"/>
    <xf numFmtId="0" fontId="23" fillId="0" borderId="0" xfId="85" applyFont="1" applyAlignment="1">
      <alignment horizontal="right"/>
    </xf>
    <xf numFmtId="0" fontId="10" fillId="0" borderId="0" xfId="85" applyFont="1"/>
    <xf numFmtId="0" fontId="14" fillId="0" borderId="10" xfId="85" applyFont="1" applyFill="1" applyBorder="1" applyAlignment="1">
      <alignment horizontal="center" wrapText="1"/>
    </xf>
    <xf numFmtId="0" fontId="14" fillId="0" borderId="10" xfId="85" applyFont="1" applyFill="1" applyBorder="1" applyAlignment="1">
      <alignment horizontal="center" vertical="center" wrapText="1"/>
    </xf>
    <xf numFmtId="0" fontId="18" fillId="0" borderId="0" xfId="85" applyFont="1" applyAlignment="1">
      <alignment horizontal="center"/>
    </xf>
    <xf numFmtId="0" fontId="14" fillId="0" borderId="10" xfId="85" applyFont="1" applyFill="1" applyBorder="1"/>
    <xf numFmtId="3" fontId="14" fillId="0" borderId="10" xfId="85" applyNumberFormat="1" applyFont="1" applyFill="1" applyBorder="1"/>
    <xf numFmtId="0" fontId="18" fillId="0" borderId="0" xfId="85" applyFont="1"/>
    <xf numFmtId="0" fontId="19" fillId="0" borderId="10" xfId="85" applyFont="1" applyFill="1" applyBorder="1"/>
    <xf numFmtId="3" fontId="19" fillId="0" borderId="10" xfId="85" applyNumberFormat="1" applyFont="1" applyFill="1" applyBorder="1"/>
    <xf numFmtId="1" fontId="19" fillId="0" borderId="10" xfId="85" applyNumberFormat="1" applyFont="1" applyFill="1" applyBorder="1"/>
    <xf numFmtId="3" fontId="19" fillId="0" borderId="10" xfId="85" applyNumberFormat="1" applyFont="1" applyFill="1" applyBorder="1" applyAlignment="1">
      <alignment horizontal="right"/>
    </xf>
    <xf numFmtId="0" fontId="14" fillId="29" borderId="10" xfId="85" applyFont="1" applyFill="1" applyBorder="1"/>
    <xf numFmtId="3" fontId="14" fillId="29" borderId="10" xfId="85" applyNumberFormat="1" applyFont="1" applyFill="1" applyBorder="1"/>
    <xf numFmtId="0" fontId="49" fillId="24" borderId="23" xfId="85" applyFont="1" applyFill="1" applyBorder="1"/>
    <xf numFmtId="0" fontId="19" fillId="24" borderId="23" xfId="85" applyFont="1" applyFill="1" applyBorder="1"/>
    <xf numFmtId="3" fontId="49" fillId="24" borderId="23" xfId="85" applyNumberFormat="1" applyFont="1" applyFill="1" applyBorder="1"/>
    <xf numFmtId="0" fontId="79" fillId="0" borderId="0" xfId="85" applyFont="1"/>
    <xf numFmtId="10" fontId="5" fillId="0" borderId="0" xfId="85" applyNumberFormat="1" applyBorder="1"/>
    <xf numFmtId="0" fontId="5" fillId="0" borderId="0" xfId="85" applyFont="1" applyBorder="1"/>
    <xf numFmtId="3" fontId="5" fillId="0" borderId="0" xfId="85" applyNumberFormat="1"/>
    <xf numFmtId="3" fontId="135" fillId="0" borderId="27" xfId="80" applyNumberFormat="1" applyFont="1" applyFill="1" applyBorder="1" applyAlignment="1">
      <alignment horizontal="right"/>
    </xf>
    <xf numFmtId="3" fontId="135" fillId="0" borderId="10" xfId="80" applyNumberFormat="1" applyFont="1" applyFill="1" applyBorder="1" applyAlignment="1">
      <alignment horizontal="right"/>
    </xf>
    <xf numFmtId="3" fontId="135" fillId="0" borderId="28" xfId="80" applyNumberFormat="1" applyFont="1" applyFill="1" applyBorder="1" applyAlignment="1">
      <alignment horizontal="right"/>
    </xf>
    <xf numFmtId="3" fontId="135" fillId="0" borderId="53" xfId="80" applyNumberFormat="1" applyFont="1" applyFill="1" applyBorder="1" applyAlignment="1">
      <alignment horizontal="right"/>
    </xf>
    <xf numFmtId="3" fontId="135" fillId="0" borderId="38" xfId="46" applyNumberFormat="1" applyFont="1" applyFill="1" applyBorder="1" applyAlignment="1">
      <alignment horizontal="right"/>
    </xf>
    <xf numFmtId="3" fontId="135" fillId="0" borderId="16" xfId="80" applyNumberFormat="1" applyFont="1" applyFill="1" applyBorder="1" applyAlignment="1">
      <alignment horizontal="right"/>
    </xf>
    <xf numFmtId="3" fontId="135" fillId="0" borderId="16" xfId="46" applyNumberFormat="1" applyFont="1" applyFill="1" applyBorder="1" applyAlignment="1">
      <alignment horizontal="right"/>
    </xf>
    <xf numFmtId="3" fontId="136" fillId="0" borderId="27" xfId="80" applyNumberFormat="1" applyFont="1" applyFill="1" applyBorder="1" applyAlignment="1">
      <alignment horizontal="right"/>
    </xf>
    <xf numFmtId="3" fontId="136" fillId="0" borderId="10" xfId="80" applyNumberFormat="1" applyFont="1" applyFill="1" applyBorder="1" applyAlignment="1">
      <alignment horizontal="right"/>
    </xf>
    <xf numFmtId="3" fontId="136" fillId="0" borderId="28" xfId="80" applyNumberFormat="1" applyFont="1" applyFill="1" applyBorder="1" applyAlignment="1">
      <alignment horizontal="right"/>
    </xf>
    <xf numFmtId="3" fontId="136" fillId="0" borderId="53" xfId="80" applyNumberFormat="1" applyFont="1" applyFill="1" applyBorder="1" applyAlignment="1">
      <alignment horizontal="right"/>
    </xf>
    <xf numFmtId="3" fontId="136" fillId="0" borderId="38" xfId="46" applyNumberFormat="1" applyFont="1" applyFill="1" applyBorder="1" applyAlignment="1">
      <alignment horizontal="right"/>
    </xf>
    <xf numFmtId="3" fontId="136" fillId="0" borderId="16" xfId="80" applyNumberFormat="1" applyFont="1" applyFill="1" applyBorder="1" applyAlignment="1">
      <alignment horizontal="right"/>
    </xf>
    <xf numFmtId="3" fontId="136" fillId="0" borderId="16" xfId="46" applyNumberFormat="1" applyFont="1" applyFill="1" applyBorder="1" applyAlignment="1">
      <alignment horizontal="right"/>
    </xf>
    <xf numFmtId="3" fontId="165" fillId="0" borderId="38" xfId="46" applyNumberFormat="1" applyFont="1" applyFill="1" applyBorder="1" applyAlignment="1">
      <alignment horizontal="right"/>
    </xf>
    <xf numFmtId="3" fontId="165" fillId="0" borderId="16" xfId="46" applyNumberFormat="1" applyFont="1" applyFill="1" applyBorder="1" applyAlignment="1">
      <alignment horizontal="right"/>
    </xf>
    <xf numFmtId="3" fontId="165" fillId="0" borderId="27" xfId="46" applyNumberFormat="1" applyFont="1" applyFill="1" applyBorder="1" applyAlignment="1">
      <alignment horizontal="right"/>
    </xf>
    <xf numFmtId="3" fontId="165" fillId="0" borderId="10" xfId="46" applyNumberFormat="1" applyFont="1" applyFill="1" applyBorder="1" applyAlignment="1">
      <alignment horizontal="right"/>
    </xf>
    <xf numFmtId="3" fontId="165" fillId="0" borderId="53" xfId="46" applyNumberFormat="1" applyFont="1" applyFill="1" applyBorder="1" applyAlignment="1">
      <alignment horizontal="right"/>
    </xf>
    <xf numFmtId="3" fontId="135" fillId="0" borderId="38" xfId="80" applyNumberFormat="1" applyFont="1" applyFill="1" applyBorder="1" applyAlignment="1">
      <alignment horizontal="right"/>
    </xf>
    <xf numFmtId="3" fontId="135" fillId="26" borderId="27" xfId="46" applyNumberFormat="1" applyFont="1" applyFill="1" applyBorder="1" applyAlignment="1">
      <alignment horizontal="right"/>
    </xf>
    <xf numFmtId="3" fontId="135" fillId="26" borderId="10" xfId="46" applyNumberFormat="1" applyFont="1" applyFill="1" applyBorder="1" applyAlignment="1">
      <alignment horizontal="right"/>
    </xf>
    <xf numFmtId="3" fontId="135" fillId="26" borderId="28" xfId="46" applyNumberFormat="1" applyFont="1" applyFill="1" applyBorder="1" applyAlignment="1">
      <alignment horizontal="right"/>
    </xf>
    <xf numFmtId="3" fontId="135" fillId="26" borderId="53" xfId="46" applyNumberFormat="1" applyFont="1" applyFill="1" applyBorder="1" applyAlignment="1">
      <alignment horizontal="right"/>
    </xf>
    <xf numFmtId="3" fontId="135" fillId="26" borderId="38" xfId="46" applyNumberFormat="1" applyFont="1" applyFill="1" applyBorder="1" applyAlignment="1">
      <alignment horizontal="right"/>
    </xf>
    <xf numFmtId="3" fontId="135" fillId="26" borderId="16" xfId="46" applyNumberFormat="1" applyFont="1" applyFill="1" applyBorder="1" applyAlignment="1">
      <alignment horizontal="right"/>
    </xf>
    <xf numFmtId="3" fontId="135" fillId="24" borderId="27" xfId="0" applyNumberFormat="1" applyFont="1" applyFill="1" applyBorder="1" applyAlignment="1">
      <alignment horizontal="right"/>
    </xf>
    <xf numFmtId="3" fontId="135" fillId="24" borderId="10" xfId="0" applyNumberFormat="1" applyFont="1" applyFill="1" applyBorder="1" applyAlignment="1">
      <alignment horizontal="right"/>
    </xf>
    <xf numFmtId="3" fontId="135" fillId="24" borderId="53" xfId="0" applyNumberFormat="1" applyFont="1" applyFill="1" applyBorder="1" applyAlignment="1">
      <alignment horizontal="right"/>
    </xf>
    <xf numFmtId="3" fontId="135" fillId="24" borderId="38" xfId="0" applyNumberFormat="1" applyFont="1" applyFill="1" applyBorder="1" applyAlignment="1">
      <alignment horizontal="right"/>
    </xf>
    <xf numFmtId="3" fontId="135" fillId="24" borderId="16" xfId="0" applyNumberFormat="1" applyFont="1" applyFill="1" applyBorder="1" applyAlignment="1">
      <alignment horizontal="right"/>
    </xf>
    <xf numFmtId="3" fontId="136" fillId="28" borderId="27" xfId="0" applyNumberFormat="1" applyFont="1" applyFill="1" applyBorder="1" applyAlignment="1">
      <alignment horizontal="right"/>
    </xf>
    <xf numFmtId="3" fontId="136" fillId="28" borderId="10" xfId="0" applyNumberFormat="1" applyFont="1" applyFill="1" applyBorder="1" applyAlignment="1">
      <alignment horizontal="right"/>
    </xf>
    <xf numFmtId="3" fontId="136" fillId="28" borderId="28" xfId="0" applyNumberFormat="1" applyFont="1" applyFill="1" applyBorder="1" applyAlignment="1">
      <alignment horizontal="right"/>
    </xf>
    <xf numFmtId="3" fontId="136" fillId="28" borderId="53" xfId="0" applyNumberFormat="1" applyFont="1" applyFill="1" applyBorder="1" applyAlignment="1">
      <alignment horizontal="right"/>
    </xf>
    <xf numFmtId="3" fontId="136" fillId="28" borderId="38" xfId="0" applyNumberFormat="1" applyFont="1" applyFill="1" applyBorder="1" applyAlignment="1">
      <alignment horizontal="right"/>
    </xf>
    <xf numFmtId="3" fontId="136" fillId="28" borderId="16" xfId="0" applyNumberFormat="1" applyFont="1" applyFill="1" applyBorder="1" applyAlignment="1">
      <alignment horizontal="right"/>
    </xf>
    <xf numFmtId="3" fontId="136" fillId="0" borderId="27" xfId="46" applyNumberFormat="1" applyFont="1" applyBorder="1" applyAlignment="1">
      <alignment horizontal="right"/>
    </xf>
    <xf numFmtId="3" fontId="136" fillId="0" borderId="10" xfId="46" applyNumberFormat="1" applyFont="1" applyBorder="1" applyAlignment="1">
      <alignment horizontal="right"/>
    </xf>
    <xf numFmtId="3" fontId="136" fillId="0" borderId="28" xfId="46" applyNumberFormat="1" applyFont="1" applyBorder="1" applyAlignment="1">
      <alignment horizontal="right"/>
    </xf>
    <xf numFmtId="3" fontId="136" fillId="0" borderId="53" xfId="46" applyNumberFormat="1" applyFont="1" applyBorder="1" applyAlignment="1">
      <alignment horizontal="right"/>
    </xf>
    <xf numFmtId="3" fontId="136" fillId="0" borderId="38" xfId="46" applyNumberFormat="1" applyFont="1" applyBorder="1" applyAlignment="1">
      <alignment horizontal="right"/>
    </xf>
    <xf numFmtId="3" fontId="136" fillId="0" borderId="16" xfId="46" applyNumberFormat="1" applyFont="1" applyBorder="1" applyAlignment="1">
      <alignment horizontal="right"/>
    </xf>
    <xf numFmtId="3" fontId="135" fillId="0" borderId="27" xfId="46" applyNumberFormat="1" applyFont="1" applyBorder="1" applyAlignment="1">
      <alignment horizontal="right"/>
    </xf>
    <xf numFmtId="3" fontId="135" fillId="0" borderId="10" xfId="46" applyNumberFormat="1" applyFont="1" applyBorder="1" applyAlignment="1">
      <alignment horizontal="right"/>
    </xf>
    <xf numFmtId="3" fontId="135" fillId="0" borderId="53" xfId="46" applyNumberFormat="1" applyFont="1" applyBorder="1" applyAlignment="1">
      <alignment horizontal="right"/>
    </xf>
    <xf numFmtId="3" fontId="135" fillId="0" borderId="38" xfId="46" applyNumberFormat="1" applyFont="1" applyBorder="1" applyAlignment="1">
      <alignment horizontal="right"/>
    </xf>
    <xf numFmtId="3" fontId="135" fillId="0" borderId="16" xfId="46" applyNumberFormat="1" applyFont="1" applyBorder="1" applyAlignment="1">
      <alignment horizontal="right"/>
    </xf>
    <xf numFmtId="3" fontId="136" fillId="0" borderId="10" xfId="46" applyNumberFormat="1" applyFont="1" applyFill="1" applyBorder="1" applyAlignment="1">
      <alignment horizontal="right"/>
    </xf>
    <xf numFmtId="3" fontId="135" fillId="27" borderId="27" xfId="0" applyNumberFormat="1" applyFont="1" applyFill="1" applyBorder="1" applyAlignment="1">
      <alignment horizontal="right"/>
    </xf>
    <xf numFmtId="3" fontId="135" fillId="27" borderId="10" xfId="0" applyNumberFormat="1" applyFont="1" applyFill="1" applyBorder="1" applyAlignment="1">
      <alignment horizontal="right"/>
    </xf>
    <xf numFmtId="3" fontId="135" fillId="27" borderId="53" xfId="0" applyNumberFormat="1" applyFont="1" applyFill="1" applyBorder="1" applyAlignment="1">
      <alignment horizontal="right"/>
    </xf>
    <xf numFmtId="3" fontId="135" fillId="27" borderId="38" xfId="0" applyNumberFormat="1" applyFont="1" applyFill="1" applyBorder="1" applyAlignment="1">
      <alignment horizontal="right"/>
    </xf>
    <xf numFmtId="3" fontId="135" fillId="27" borderId="16" xfId="0" applyNumberFormat="1" applyFont="1" applyFill="1" applyBorder="1" applyAlignment="1">
      <alignment horizontal="right"/>
    </xf>
    <xf numFmtId="3" fontId="135" fillId="27" borderId="34" xfId="0" applyNumberFormat="1" applyFont="1" applyFill="1" applyBorder="1" applyAlignment="1">
      <alignment horizontal="right"/>
    </xf>
    <xf numFmtId="3" fontId="135" fillId="27" borderId="35" xfId="0" applyNumberFormat="1" applyFont="1" applyFill="1" applyBorder="1" applyAlignment="1">
      <alignment horizontal="right"/>
    </xf>
    <xf numFmtId="3" fontId="135" fillId="27" borderId="62" xfId="0" applyNumberFormat="1" applyFont="1" applyFill="1" applyBorder="1" applyAlignment="1">
      <alignment horizontal="right"/>
    </xf>
    <xf numFmtId="3" fontId="135" fillId="27" borderId="64" xfId="0" applyNumberFormat="1" applyFont="1" applyFill="1" applyBorder="1" applyAlignment="1">
      <alignment horizontal="right"/>
    </xf>
    <xf numFmtId="3" fontId="135" fillId="27" borderId="44" xfId="0" applyNumberFormat="1" applyFont="1" applyFill="1" applyBorder="1" applyAlignment="1">
      <alignment horizontal="right"/>
    </xf>
    <xf numFmtId="167" fontId="83" fillId="0" borderId="27" xfId="0" applyNumberFormat="1" applyFont="1" applyFill="1" applyBorder="1" applyAlignment="1">
      <alignment vertical="center"/>
    </xf>
    <xf numFmtId="3" fontId="103" fillId="0" borderId="27" xfId="46" applyNumberFormat="1" applyFont="1" applyBorder="1"/>
    <xf numFmtId="3" fontId="103" fillId="0" borderId="10" xfId="46" applyNumberFormat="1" applyFont="1" applyBorder="1"/>
    <xf numFmtId="3" fontId="103" fillId="0" borderId="10" xfId="46" applyNumberFormat="1" applyFont="1" applyFill="1" applyBorder="1"/>
    <xf numFmtId="3" fontId="148" fillId="0" borderId="27" xfId="46" applyNumberFormat="1" applyFont="1" applyBorder="1"/>
    <xf numFmtId="3" fontId="148" fillId="0" borderId="10" xfId="46" applyNumberFormat="1" applyFont="1" applyBorder="1"/>
    <xf numFmtId="3" fontId="147" fillId="0" borderId="27" xfId="46" applyNumberFormat="1" applyFont="1" applyFill="1" applyBorder="1"/>
    <xf numFmtId="3" fontId="104" fillId="24" borderId="27" xfId="46" applyNumberFormat="1" applyFont="1" applyFill="1" applyBorder="1"/>
    <xf numFmtId="3" fontId="104" fillId="24" borderId="10" xfId="46" applyNumberFormat="1" applyFont="1" applyFill="1" applyBorder="1"/>
    <xf numFmtId="3" fontId="147" fillId="0" borderId="10" xfId="46" applyNumberFormat="1" applyFont="1" applyFill="1" applyBorder="1"/>
    <xf numFmtId="3" fontId="103" fillId="0" borderId="27" xfId="46" applyNumberFormat="1" applyFont="1" applyFill="1" applyBorder="1"/>
    <xf numFmtId="3" fontId="147" fillId="0" borderId="27" xfId="46" applyNumberFormat="1" applyFont="1" applyBorder="1"/>
    <xf numFmtId="3" fontId="147" fillId="0" borderId="10" xfId="46" applyNumberFormat="1" applyFont="1" applyBorder="1"/>
    <xf numFmtId="3" fontId="104" fillId="24" borderId="34" xfId="46" applyNumberFormat="1" applyFont="1" applyFill="1" applyBorder="1"/>
    <xf numFmtId="3" fontId="104" fillId="24" borderId="35" xfId="46" applyNumberFormat="1" applyFont="1" applyFill="1" applyBorder="1"/>
    <xf numFmtId="0" fontId="67" fillId="0" borderId="10" xfId="0" applyFont="1" applyFill="1" applyBorder="1" applyAlignment="1">
      <alignment horizontal="left" vertical="center" wrapText="1"/>
    </xf>
    <xf numFmtId="0" fontId="57" fillId="24" borderId="10" xfId="0" applyFont="1" applyFill="1" applyBorder="1" applyAlignment="1">
      <alignment horizontal="left" vertical="center" wrapText="1"/>
    </xf>
    <xf numFmtId="4" fontId="108" fillId="0" borderId="10" xfId="46" applyNumberFormat="1" applyFont="1" applyBorder="1"/>
    <xf numFmtId="3" fontId="109" fillId="26" borderId="27" xfId="46" applyNumberFormat="1" applyFont="1" applyFill="1" applyBorder="1"/>
    <xf numFmtId="3" fontId="109" fillId="26" borderId="10" xfId="46" applyNumberFormat="1" applyFont="1" applyFill="1" applyBorder="1"/>
    <xf numFmtId="4" fontId="109" fillId="26" borderId="10" xfId="46" applyNumberFormat="1" applyFont="1" applyFill="1" applyBorder="1"/>
    <xf numFmtId="3" fontId="109" fillId="26" borderId="53" xfId="46" applyNumberFormat="1" applyFont="1" applyFill="1" applyBorder="1"/>
    <xf numFmtId="3" fontId="109" fillId="26" borderId="28" xfId="46" applyNumberFormat="1" applyFont="1" applyFill="1" applyBorder="1"/>
    <xf numFmtId="0" fontId="108" fillId="0" borderId="53" xfId="46" applyFont="1" applyBorder="1"/>
    <xf numFmtId="3" fontId="109" fillId="24" borderId="27" xfId="0" applyNumberFormat="1" applyFont="1" applyFill="1" applyBorder="1"/>
    <xf numFmtId="3" fontId="109" fillId="24" borderId="10" xfId="0" applyNumberFormat="1" applyFont="1" applyFill="1" applyBorder="1"/>
    <xf numFmtId="4" fontId="109" fillId="24" borderId="10" xfId="0" applyNumberFormat="1" applyFont="1" applyFill="1" applyBorder="1"/>
    <xf numFmtId="3" fontId="109" fillId="24" borderId="53" xfId="0" applyNumberFormat="1" applyFont="1" applyFill="1" applyBorder="1"/>
    <xf numFmtId="3" fontId="109" fillId="28" borderId="27" xfId="0" applyNumberFormat="1" applyFont="1" applyFill="1" applyBorder="1"/>
    <xf numFmtId="3" fontId="109" fillId="28" borderId="10" xfId="0" applyNumberFormat="1" applyFont="1" applyFill="1" applyBorder="1"/>
    <xf numFmtId="4" fontId="109" fillId="28" borderId="10" xfId="0" applyNumberFormat="1" applyFont="1" applyFill="1" applyBorder="1"/>
    <xf numFmtId="3" fontId="109" fillId="28" borderId="53" xfId="0" applyNumberFormat="1" applyFont="1" applyFill="1" applyBorder="1"/>
    <xf numFmtId="3" fontId="109" fillId="28" borderId="28" xfId="0" applyNumberFormat="1" applyFont="1" applyFill="1" applyBorder="1"/>
    <xf numFmtId="3" fontId="109" fillId="0" borderId="27" xfId="46" applyNumberFormat="1" applyFont="1" applyBorder="1"/>
    <xf numFmtId="3" fontId="109" fillId="0" borderId="10" xfId="46" applyNumberFormat="1" applyFont="1" applyBorder="1"/>
    <xf numFmtId="4" fontId="109" fillId="0" borderId="10" xfId="46" applyNumberFormat="1" applyFont="1" applyBorder="1"/>
    <xf numFmtId="3" fontId="109" fillId="0" borderId="53" xfId="46" applyNumberFormat="1" applyFont="1" applyBorder="1"/>
    <xf numFmtId="3" fontId="109" fillId="0" borderId="28" xfId="46" applyNumberFormat="1" applyFont="1" applyBorder="1"/>
    <xf numFmtId="3" fontId="109" fillId="27" borderId="34" xfId="0" applyNumberFormat="1" applyFont="1" applyFill="1" applyBorder="1"/>
    <xf numFmtId="3" fontId="109" fillId="27" borderId="35" xfId="0" applyNumberFormat="1" applyFont="1" applyFill="1" applyBorder="1"/>
    <xf numFmtId="4" fontId="109" fillId="27" borderId="35" xfId="0" applyNumberFormat="1" applyFont="1" applyFill="1" applyBorder="1"/>
    <xf numFmtId="3" fontId="109" fillId="27" borderId="62" xfId="0" applyNumberFormat="1" applyFont="1" applyFill="1" applyBorder="1"/>
    <xf numFmtId="0" fontId="93" fillId="0" borderId="71" xfId="46" applyFont="1" applyBorder="1" applyAlignment="1">
      <alignment horizontal="center" vertical="center"/>
    </xf>
    <xf numFmtId="3" fontId="50" fillId="0" borderId="0" xfId="0" applyNumberFormat="1" applyFont="1"/>
    <xf numFmtId="0" fontId="50" fillId="0" borderId="0" xfId="0" applyFont="1"/>
    <xf numFmtId="4" fontId="109" fillId="26" borderId="28" xfId="46" applyNumberFormat="1" applyFont="1" applyFill="1" applyBorder="1"/>
    <xf numFmtId="4" fontId="135" fillId="0" borderId="28" xfId="80" applyNumberFormat="1" applyFont="1" applyFill="1" applyBorder="1" applyAlignment="1">
      <alignment horizontal="right"/>
    </xf>
    <xf numFmtId="4" fontId="136" fillId="0" borderId="28" xfId="80" applyNumberFormat="1" applyFont="1" applyFill="1" applyBorder="1" applyAlignment="1">
      <alignment horizontal="right"/>
    </xf>
    <xf numFmtId="4" fontId="135" fillId="24" borderId="28" xfId="0" applyNumberFormat="1" applyFont="1" applyFill="1" applyBorder="1" applyAlignment="1">
      <alignment horizontal="right"/>
    </xf>
    <xf numFmtId="4" fontId="135" fillId="27" borderId="28" xfId="0" applyNumberFormat="1" applyFont="1" applyFill="1" applyBorder="1" applyAlignment="1">
      <alignment horizontal="right"/>
    </xf>
    <xf numFmtId="4" fontId="135" fillId="27" borderId="36" xfId="0" applyNumberFormat="1" applyFont="1" applyFill="1" applyBorder="1" applyAlignment="1">
      <alignment horizontal="right"/>
    </xf>
    <xf numFmtId="4" fontId="135" fillId="26" borderId="28" xfId="46" applyNumberFormat="1" applyFont="1" applyFill="1" applyBorder="1" applyAlignment="1">
      <alignment horizontal="right"/>
    </xf>
    <xf numFmtId="0" fontId="139" fillId="0" borderId="0" xfId="47" applyFont="1" applyAlignment="1">
      <alignment horizontal="right"/>
    </xf>
    <xf numFmtId="0" fontId="18" fillId="0" borderId="0" xfId="68" applyFont="1" applyBorder="1" applyAlignment="1">
      <alignment vertical="center" wrapText="1"/>
    </xf>
    <xf numFmtId="3" fontId="51" fillId="0" borderId="0" xfId="68" applyNumberFormat="1" applyFont="1" applyFill="1" applyBorder="1" applyAlignment="1">
      <alignment vertical="center"/>
    </xf>
    <xf numFmtId="0" fontId="18" fillId="0" borderId="0" xfId="68" applyFont="1" applyFill="1" applyBorder="1" applyAlignment="1">
      <alignment vertical="center" wrapText="1"/>
    </xf>
    <xf numFmtId="0" fontId="116" fillId="0" borderId="0" xfId="0" applyFont="1" applyAlignment="1">
      <alignment horizontal="center"/>
    </xf>
    <xf numFmtId="0" fontId="92" fillId="0" borderId="27" xfId="0" applyFont="1" applyBorder="1" applyAlignment="1">
      <alignment horizontal="center" vertical="center" wrapText="1"/>
    </xf>
    <xf numFmtId="0" fontId="92" fillId="0" borderId="10" xfId="0" applyFont="1" applyBorder="1" applyAlignment="1">
      <alignment horizontal="center" vertical="center" wrapText="1"/>
    </xf>
    <xf numFmtId="0" fontId="92" fillId="0" borderId="28" xfId="0" applyFont="1" applyBorder="1" applyAlignment="1">
      <alignment horizontal="center" vertical="center" wrapText="1"/>
    </xf>
    <xf numFmtId="0" fontId="92" fillId="0" borderId="38" xfId="0" applyFont="1" applyBorder="1" applyAlignment="1">
      <alignment horizontal="center" vertical="center" wrapText="1"/>
    </xf>
    <xf numFmtId="0" fontId="92" fillId="0" borderId="16" xfId="0" applyFont="1" applyBorder="1" applyAlignment="1">
      <alignment horizontal="center" vertical="center" wrapText="1"/>
    </xf>
    <xf numFmtId="0" fontId="92" fillId="0" borderId="27" xfId="0" applyFont="1" applyFill="1" applyBorder="1" applyAlignment="1">
      <alignment horizontal="center" vertical="center" wrapText="1"/>
    </xf>
    <xf numFmtId="0" fontId="93" fillId="0" borderId="27" xfId="0" applyFont="1" applyFill="1" applyBorder="1" applyAlignment="1">
      <alignment horizontal="left" vertical="center"/>
    </xf>
    <xf numFmtId="0" fontId="92" fillId="0" borderId="27" xfId="0" applyFont="1" applyFill="1" applyBorder="1" applyAlignment="1">
      <alignment horizontal="left" vertical="center"/>
    </xf>
    <xf numFmtId="0" fontId="92" fillId="0" borderId="0" xfId="0" applyFont="1"/>
    <xf numFmtId="0" fontId="93" fillId="0" borderId="27" xfId="82" applyFont="1" applyFill="1" applyBorder="1" applyAlignment="1">
      <alignment horizontal="left" vertical="center"/>
    </xf>
    <xf numFmtId="0" fontId="92" fillId="26" borderId="27" xfId="0" applyFont="1" applyFill="1" applyBorder="1" applyAlignment="1">
      <alignment horizontal="left" vertical="center"/>
    </xf>
    <xf numFmtId="0" fontId="92" fillId="24" borderId="27" xfId="0" applyFont="1" applyFill="1" applyBorder="1" applyAlignment="1">
      <alignment horizontal="left" vertical="center"/>
    </xf>
    <xf numFmtId="0" fontId="93" fillId="28" borderId="27" xfId="0" applyFont="1" applyFill="1" applyBorder="1" applyAlignment="1">
      <alignment horizontal="left" vertical="center"/>
    </xf>
    <xf numFmtId="0" fontId="93" fillId="0" borderId="27" xfId="0" applyFont="1" applyFill="1" applyBorder="1" applyAlignment="1">
      <alignment horizontal="left" vertical="center" wrapText="1"/>
    </xf>
    <xf numFmtId="0" fontId="92" fillId="24" borderId="27" xfId="0" applyFont="1" applyFill="1" applyBorder="1" applyAlignment="1">
      <alignment horizontal="left" vertical="center" wrapText="1"/>
    </xf>
    <xf numFmtId="0" fontId="93" fillId="27" borderId="34" xfId="0" applyFont="1" applyFill="1" applyBorder="1"/>
    <xf numFmtId="0" fontId="93" fillId="0" borderId="56" xfId="0" applyFont="1" applyBorder="1"/>
    <xf numFmtId="0" fontId="93" fillId="0" borderId="0" xfId="0" applyFont="1" applyBorder="1"/>
    <xf numFmtId="167" fontId="93" fillId="0" borderId="27" xfId="0" applyNumberFormat="1" applyFont="1" applyFill="1" applyBorder="1" applyAlignment="1">
      <alignment vertical="center"/>
    </xf>
    <xf numFmtId="0" fontId="93" fillId="0" borderId="16" xfId="0" applyFont="1" applyFill="1" applyBorder="1" applyAlignment="1">
      <alignment vertical="center" wrapText="1"/>
    </xf>
    <xf numFmtId="167" fontId="92" fillId="0" borderId="27" xfId="0" applyNumberFormat="1" applyFont="1" applyFill="1" applyBorder="1" applyAlignment="1">
      <alignment vertical="center"/>
    </xf>
    <xf numFmtId="167" fontId="92" fillId="26" borderId="27" xfId="0" applyNumberFormat="1" applyFont="1" applyFill="1" applyBorder="1" applyAlignment="1">
      <alignment vertical="center"/>
    </xf>
    <xf numFmtId="0" fontId="92" fillId="27" borderId="34" xfId="0" applyFont="1" applyFill="1" applyBorder="1"/>
    <xf numFmtId="3" fontId="93" fillId="0" borderId="0" xfId="0" applyNumberFormat="1" applyFont="1"/>
    <xf numFmtId="0" fontId="105" fillId="0" borderId="0" xfId="0" applyFont="1"/>
    <xf numFmtId="0" fontId="105" fillId="0" borderId="0" xfId="0" applyFont="1" applyAlignment="1">
      <alignment horizontal="right" vertical="center"/>
    </xf>
    <xf numFmtId="0" fontId="105" fillId="0" borderId="0" xfId="0" applyFont="1" applyAlignment="1">
      <alignment horizontal="right"/>
    </xf>
    <xf numFmtId="0" fontId="105" fillId="0" borderId="16" xfId="0" applyFont="1" applyFill="1" applyBorder="1" applyAlignment="1">
      <alignment horizontal="left" vertical="center" wrapText="1"/>
    </xf>
    <xf numFmtId="0" fontId="106" fillId="0" borderId="16" xfId="0" applyFont="1" applyFill="1" applyBorder="1" applyAlignment="1">
      <alignment horizontal="left" vertical="center" wrapText="1"/>
    </xf>
    <xf numFmtId="0" fontId="105" fillId="0" borderId="16" xfId="82" applyFont="1" applyFill="1" applyBorder="1" applyAlignment="1">
      <alignment horizontal="left" vertical="center" wrapText="1"/>
    </xf>
    <xf numFmtId="0" fontId="108" fillId="0" borderId="16" xfId="0" applyFont="1" applyFill="1" applyBorder="1" applyAlignment="1">
      <alignment horizontal="left" vertical="center" wrapText="1"/>
    </xf>
    <xf numFmtId="0" fontId="109" fillId="0" borderId="16" xfId="0" applyFont="1" applyFill="1" applyBorder="1" applyAlignment="1">
      <alignment horizontal="left" vertical="center" wrapText="1"/>
    </xf>
    <xf numFmtId="0" fontId="106" fillId="26" borderId="16" xfId="0" applyFont="1" applyFill="1" applyBorder="1" applyAlignment="1">
      <alignment horizontal="left" vertical="center" wrapText="1"/>
    </xf>
    <xf numFmtId="0" fontId="109" fillId="24" borderId="16" xfId="0" applyFont="1" applyFill="1" applyBorder="1" applyAlignment="1">
      <alignment horizontal="left" vertical="center" wrapText="1"/>
    </xf>
    <xf numFmtId="0" fontId="105" fillId="28" borderId="16" xfId="0" applyFont="1" applyFill="1" applyBorder="1"/>
    <xf numFmtId="0" fontId="109" fillId="24" borderId="16" xfId="0" applyFont="1" applyFill="1" applyBorder="1" applyAlignment="1">
      <alignment horizontal="left" vertical="center"/>
    </xf>
    <xf numFmtId="0" fontId="106" fillId="27" borderId="44" xfId="0" applyFont="1" applyFill="1" applyBorder="1"/>
    <xf numFmtId="0" fontId="105" fillId="0" borderId="16" xfId="0" applyFont="1" applyFill="1" applyBorder="1" applyAlignment="1">
      <alignment vertical="center" wrapText="1"/>
    </xf>
    <xf numFmtId="0" fontId="106" fillId="0" borderId="16" xfId="0" applyFont="1" applyFill="1" applyBorder="1" applyAlignment="1">
      <alignment vertical="center" wrapText="1"/>
    </xf>
    <xf numFmtId="0" fontId="109" fillId="26" borderId="16" xfId="0" applyFont="1" applyFill="1" applyBorder="1" applyAlignment="1">
      <alignment horizontal="left" vertical="center" wrapText="1"/>
    </xf>
    <xf numFmtId="3" fontId="105" fillId="0" borderId="27" xfId="0" applyNumberFormat="1" applyFont="1" applyBorder="1" applyAlignment="1">
      <alignment horizontal="right"/>
    </xf>
    <xf numFmtId="3" fontId="105" fillId="0" borderId="10" xfId="0" applyNumberFormat="1" applyFont="1" applyBorder="1" applyAlignment="1">
      <alignment horizontal="right"/>
    </xf>
    <xf numFmtId="4" fontId="105" fillId="0" borderId="28" xfId="0" applyNumberFormat="1" applyFont="1" applyBorder="1" applyAlignment="1">
      <alignment horizontal="right"/>
    </xf>
    <xf numFmtId="3" fontId="105" fillId="0" borderId="38" xfId="0" applyNumberFormat="1" applyFont="1" applyBorder="1" applyAlignment="1">
      <alignment horizontal="right"/>
    </xf>
    <xf numFmtId="3" fontId="105" fillId="0" borderId="16" xfId="0" applyNumberFormat="1" applyFont="1" applyBorder="1" applyAlignment="1">
      <alignment horizontal="right"/>
    </xf>
    <xf numFmtId="3" fontId="106" fillId="0" borderId="27" xfId="0" applyNumberFormat="1" applyFont="1" applyBorder="1" applyAlignment="1">
      <alignment horizontal="right"/>
    </xf>
    <xf numFmtId="3" fontId="106" fillId="0" borderId="10" xfId="0" applyNumberFormat="1" applyFont="1" applyBorder="1" applyAlignment="1">
      <alignment horizontal="right"/>
    </xf>
    <xf numFmtId="4" fontId="106" fillId="0" borderId="28" xfId="0" applyNumberFormat="1" applyFont="1" applyBorder="1" applyAlignment="1">
      <alignment horizontal="right"/>
    </xf>
    <xf numFmtId="3" fontId="106" fillId="0" borderId="38" xfId="0" applyNumberFormat="1" applyFont="1" applyBorder="1" applyAlignment="1">
      <alignment horizontal="right"/>
    </xf>
    <xf numFmtId="3" fontId="106" fillId="0" borderId="16" xfId="0" applyNumberFormat="1" applyFont="1" applyBorder="1" applyAlignment="1">
      <alignment horizontal="right"/>
    </xf>
    <xf numFmtId="3" fontId="106" fillId="26" borderId="27" xfId="0" applyNumberFormat="1" applyFont="1" applyFill="1" applyBorder="1" applyAlignment="1">
      <alignment horizontal="right"/>
    </xf>
    <xf numFmtId="3" fontId="106" fillId="26" borderId="10" xfId="0" applyNumberFormat="1" applyFont="1" applyFill="1" applyBorder="1" applyAlignment="1">
      <alignment horizontal="right"/>
    </xf>
    <xf numFmtId="4" fontId="106" fillId="26" borderId="28" xfId="0" applyNumberFormat="1" applyFont="1" applyFill="1" applyBorder="1" applyAlignment="1">
      <alignment horizontal="right"/>
    </xf>
    <xf numFmtId="3" fontId="106" fillId="26" borderId="38" xfId="0" applyNumberFormat="1" applyFont="1" applyFill="1" applyBorder="1" applyAlignment="1">
      <alignment horizontal="right"/>
    </xf>
    <xf numFmtId="3" fontId="106" fillId="26" borderId="16" xfId="0" applyNumberFormat="1" applyFont="1" applyFill="1" applyBorder="1" applyAlignment="1">
      <alignment horizontal="right"/>
    </xf>
    <xf numFmtId="3" fontId="106" fillId="24" borderId="27" xfId="0" applyNumberFormat="1" applyFont="1" applyFill="1" applyBorder="1" applyAlignment="1">
      <alignment horizontal="right"/>
    </xf>
    <xf numFmtId="3" fontId="106" fillId="24" borderId="10" xfId="0" applyNumberFormat="1" applyFont="1" applyFill="1" applyBorder="1" applyAlignment="1">
      <alignment horizontal="right"/>
    </xf>
    <xf numFmtId="4" fontId="106" fillId="24" borderId="28" xfId="0" applyNumberFormat="1" applyFont="1" applyFill="1" applyBorder="1" applyAlignment="1">
      <alignment horizontal="right"/>
    </xf>
    <xf numFmtId="3" fontId="106" fillId="24" borderId="38" xfId="0" applyNumberFormat="1" applyFont="1" applyFill="1" applyBorder="1" applyAlignment="1">
      <alignment horizontal="right"/>
    </xf>
    <xf numFmtId="3" fontId="106" fillId="24" borderId="16" xfId="0" applyNumberFormat="1" applyFont="1" applyFill="1" applyBorder="1" applyAlignment="1">
      <alignment horizontal="right"/>
    </xf>
    <xf numFmtId="3" fontId="105" fillId="28" borderId="27" xfId="0" applyNumberFormat="1" applyFont="1" applyFill="1" applyBorder="1" applyAlignment="1">
      <alignment horizontal="right"/>
    </xf>
    <xf numFmtId="3" fontId="105" fillId="28" borderId="10" xfId="0" applyNumberFormat="1" applyFont="1" applyFill="1" applyBorder="1" applyAlignment="1">
      <alignment horizontal="right"/>
    </xf>
    <xf numFmtId="3" fontId="105" fillId="28" borderId="28" xfId="0" applyNumberFormat="1" applyFont="1" applyFill="1" applyBorder="1" applyAlignment="1">
      <alignment horizontal="right"/>
    </xf>
    <xf numFmtId="3" fontId="105" fillId="28" borderId="38" xfId="0" applyNumberFormat="1" applyFont="1" applyFill="1" applyBorder="1" applyAlignment="1">
      <alignment horizontal="right"/>
    </xf>
    <xf numFmtId="3" fontId="105" fillId="28" borderId="16" xfId="0" applyNumberFormat="1" applyFont="1" applyFill="1" applyBorder="1" applyAlignment="1">
      <alignment horizontal="right"/>
    </xf>
    <xf numFmtId="3" fontId="105" fillId="0" borderId="28" xfId="0" applyNumberFormat="1" applyFont="1" applyBorder="1" applyAlignment="1">
      <alignment horizontal="right"/>
    </xf>
    <xf numFmtId="3" fontId="106" fillId="27" borderId="34" xfId="0" applyNumberFormat="1" applyFont="1" applyFill="1" applyBorder="1" applyAlignment="1">
      <alignment horizontal="right"/>
    </xf>
    <xf numFmtId="3" fontId="106" fillId="27" borderId="35" xfId="0" applyNumberFormat="1" applyFont="1" applyFill="1" applyBorder="1" applyAlignment="1">
      <alignment horizontal="right"/>
    </xf>
    <xf numFmtId="4" fontId="106" fillId="27" borderId="36" xfId="0" applyNumberFormat="1" applyFont="1" applyFill="1" applyBorder="1" applyAlignment="1">
      <alignment horizontal="right"/>
    </xf>
    <xf numFmtId="3" fontId="106" fillId="27" borderId="64" xfId="0" applyNumberFormat="1" applyFont="1" applyFill="1" applyBorder="1" applyAlignment="1">
      <alignment horizontal="right"/>
    </xf>
    <xf numFmtId="3" fontId="106" fillId="27" borderId="44" xfId="0" applyNumberFormat="1" applyFont="1" applyFill="1" applyBorder="1" applyAlignment="1">
      <alignment horizontal="right"/>
    </xf>
    <xf numFmtId="4" fontId="105" fillId="0" borderId="16" xfId="0" applyNumberFormat="1" applyFont="1" applyBorder="1" applyAlignment="1">
      <alignment horizontal="right"/>
    </xf>
    <xf numFmtId="3" fontId="105" fillId="0" borderId="27" xfId="0" applyNumberFormat="1" applyFont="1" applyFill="1" applyBorder="1" applyAlignment="1">
      <alignment horizontal="right"/>
    </xf>
    <xf numFmtId="3" fontId="105" fillId="0" borderId="10" xfId="0" applyNumberFormat="1" applyFont="1" applyFill="1" applyBorder="1" applyAlignment="1">
      <alignment horizontal="right"/>
    </xf>
    <xf numFmtId="4" fontId="105" fillId="0" borderId="28" xfId="0" applyNumberFormat="1" applyFont="1" applyFill="1" applyBorder="1" applyAlignment="1">
      <alignment horizontal="right"/>
    </xf>
    <xf numFmtId="3" fontId="108" fillId="0" borderId="27" xfId="0" applyNumberFormat="1" applyFont="1" applyFill="1" applyBorder="1" applyAlignment="1">
      <alignment horizontal="right" vertical="center" wrapText="1"/>
    </xf>
    <xf numFmtId="3" fontId="108" fillId="0" borderId="10" xfId="0" applyNumberFormat="1" applyFont="1" applyFill="1" applyBorder="1" applyAlignment="1">
      <alignment horizontal="right" vertical="center" wrapText="1"/>
    </xf>
    <xf numFmtId="4" fontId="108" fillId="0" borderId="28" xfId="0" applyNumberFormat="1" applyFont="1" applyFill="1" applyBorder="1" applyAlignment="1">
      <alignment horizontal="right" vertical="center" wrapText="1"/>
    </xf>
    <xf numFmtId="3" fontId="108" fillId="0" borderId="38" xfId="0" applyNumberFormat="1" applyFont="1" applyFill="1" applyBorder="1" applyAlignment="1">
      <alignment horizontal="right" vertical="center" wrapText="1"/>
    </xf>
    <xf numFmtId="3" fontId="108" fillId="0" borderId="16" xfId="0" applyNumberFormat="1" applyFont="1" applyFill="1" applyBorder="1" applyAlignment="1">
      <alignment horizontal="right" vertical="center" wrapText="1"/>
    </xf>
    <xf numFmtId="4" fontId="108" fillId="0" borderId="28" xfId="0" applyNumberFormat="1" applyFont="1" applyFill="1" applyBorder="1" applyAlignment="1">
      <alignment horizontal="right" vertical="center"/>
    </xf>
    <xf numFmtId="3" fontId="106" fillId="0" borderId="10" xfId="0" applyNumberFormat="1" applyFont="1" applyBorder="1"/>
    <xf numFmtId="0" fontId="50" fillId="0" borderId="27" xfId="0" applyFont="1" applyFill="1" applyBorder="1" applyAlignment="1">
      <alignment horizontal="left" vertical="center"/>
    </xf>
    <xf numFmtId="0" fontId="23" fillId="0" borderId="27" xfId="80" applyFont="1" applyFill="1" applyBorder="1" applyAlignment="1">
      <alignment horizontal="left" vertical="center"/>
    </xf>
    <xf numFmtId="0" fontId="50" fillId="26" borderId="27" xfId="0" applyFont="1" applyFill="1" applyBorder="1" applyAlignment="1">
      <alignment horizontal="left" vertical="center"/>
    </xf>
    <xf numFmtId="0" fontId="23" fillId="28" borderId="27" xfId="0" applyFont="1" applyFill="1" applyBorder="1" applyAlignment="1">
      <alignment horizontal="left" vertical="center"/>
    </xf>
    <xf numFmtId="0" fontId="50" fillId="24" borderId="27" xfId="0" applyFont="1" applyFill="1" applyBorder="1" applyAlignment="1">
      <alignment horizontal="left" vertical="center" wrapText="1"/>
    </xf>
    <xf numFmtId="0" fontId="108" fillId="0" borderId="16" xfId="0" applyFont="1" applyFill="1" applyBorder="1" applyAlignment="1">
      <alignment vertical="center" wrapText="1"/>
    </xf>
    <xf numFmtId="0" fontId="108" fillId="0" borderId="16" xfId="0" applyFont="1" applyFill="1" applyBorder="1" applyAlignment="1">
      <alignment vertical="center"/>
    </xf>
    <xf numFmtId="0" fontId="105" fillId="0" borderId="16" xfId="0" applyFont="1" applyFill="1" applyBorder="1" applyAlignment="1">
      <alignment horizontal="left" vertical="center"/>
    </xf>
    <xf numFmtId="0" fontId="108" fillId="26" borderId="16" xfId="0" applyFont="1" applyFill="1" applyBorder="1" applyAlignment="1">
      <alignment horizontal="left" vertical="center" wrapText="1"/>
    </xf>
    <xf numFmtId="167" fontId="23" fillId="0" borderId="27" xfId="0" applyNumberFormat="1" applyFont="1" applyFill="1" applyBorder="1" applyAlignment="1">
      <alignment vertical="center"/>
    </xf>
    <xf numFmtId="167" fontId="23" fillId="26" borderId="27" xfId="0" applyNumberFormat="1" applyFont="1" applyFill="1" applyBorder="1" applyAlignment="1">
      <alignment vertical="center"/>
    </xf>
    <xf numFmtId="0" fontId="92" fillId="0" borderId="10" xfId="0" applyFont="1" applyFill="1" applyBorder="1" applyAlignment="1">
      <alignment horizontal="center" vertical="center" wrapText="1"/>
    </xf>
    <xf numFmtId="0" fontId="105" fillId="0" borderId="10" xfId="0" applyFont="1" applyFill="1" applyBorder="1" applyAlignment="1">
      <alignment horizontal="left" vertical="center" wrapText="1"/>
    </xf>
    <xf numFmtId="0" fontId="106" fillId="0" borderId="0" xfId="0" applyFont="1"/>
    <xf numFmtId="4" fontId="105" fillId="0" borderId="10" xfId="0" applyNumberFormat="1" applyFont="1" applyBorder="1" applyAlignment="1">
      <alignment horizontal="right"/>
    </xf>
    <xf numFmtId="0" fontId="106" fillId="0" borderId="10" xfId="0" applyFont="1" applyFill="1" applyBorder="1" applyAlignment="1">
      <alignment horizontal="left" vertical="center" wrapText="1"/>
    </xf>
    <xf numFmtId="0" fontId="105" fillId="0" borderId="10" xfId="80" applyFont="1" applyFill="1" applyBorder="1" applyAlignment="1">
      <alignment horizontal="left" vertical="center" wrapText="1"/>
    </xf>
    <xf numFmtId="0" fontId="108" fillId="0" borderId="10" xfId="0" applyFont="1" applyFill="1" applyBorder="1" applyAlignment="1">
      <alignment horizontal="left" vertical="center" wrapText="1"/>
    </xf>
    <xf numFmtId="0" fontId="109" fillId="0" borderId="10" xfId="0" applyFont="1" applyFill="1" applyBorder="1" applyAlignment="1">
      <alignment horizontal="left" vertical="center" wrapText="1"/>
    </xf>
    <xf numFmtId="0" fontId="106" fillId="26" borderId="10" xfId="0" applyFont="1" applyFill="1" applyBorder="1" applyAlignment="1">
      <alignment horizontal="left" vertical="center" wrapText="1"/>
    </xf>
    <xf numFmtId="4" fontId="106" fillId="26" borderId="10" xfId="0" applyNumberFormat="1" applyFont="1" applyFill="1" applyBorder="1" applyAlignment="1">
      <alignment horizontal="right"/>
    </xf>
    <xf numFmtId="0" fontId="109" fillId="24" borderId="10" xfId="0" applyFont="1" applyFill="1" applyBorder="1" applyAlignment="1">
      <alignment horizontal="left" vertical="center" wrapText="1"/>
    </xf>
    <xf numFmtId="4" fontId="106" fillId="24" borderId="10" xfId="0" applyNumberFormat="1" applyFont="1" applyFill="1" applyBorder="1" applyAlignment="1">
      <alignment horizontal="right"/>
    </xf>
    <xf numFmtId="0" fontId="105" fillId="28" borderId="10" xfId="0" applyFont="1" applyFill="1" applyBorder="1"/>
    <xf numFmtId="4" fontId="106" fillId="0" borderId="10" xfId="0" applyNumberFormat="1" applyFont="1" applyBorder="1" applyAlignment="1">
      <alignment horizontal="right"/>
    </xf>
    <xf numFmtId="0" fontId="109" fillId="24" borderId="10" xfId="0" applyFont="1" applyFill="1" applyBorder="1" applyAlignment="1">
      <alignment horizontal="left" vertical="center"/>
    </xf>
    <xf numFmtId="0" fontId="106" fillId="27" borderId="35" xfId="0" applyFont="1" applyFill="1" applyBorder="1"/>
    <xf numFmtId="4" fontId="106" fillId="27" borderId="35" xfId="0" applyNumberFormat="1" applyFont="1" applyFill="1" applyBorder="1" applyAlignment="1">
      <alignment horizontal="right"/>
    </xf>
    <xf numFmtId="0" fontId="105" fillId="0" borderId="56" xfId="0" applyFont="1" applyBorder="1"/>
    <xf numFmtId="0" fontId="105" fillId="0" borderId="0" xfId="0" applyFont="1" applyBorder="1"/>
    <xf numFmtId="0" fontId="105" fillId="0" borderId="10" xfId="0" applyFont="1" applyFill="1" applyBorder="1" applyAlignment="1">
      <alignment vertical="center" wrapText="1"/>
    </xf>
    <xf numFmtId="0" fontId="108" fillId="0" borderId="10" xfId="0" applyFont="1" applyFill="1" applyBorder="1" applyAlignment="1">
      <alignment vertical="center" wrapText="1"/>
    </xf>
    <xf numFmtId="0" fontId="108" fillId="0" borderId="10" xfId="0" applyFont="1" applyFill="1" applyBorder="1" applyAlignment="1">
      <alignment vertical="center"/>
    </xf>
    <xf numFmtId="0" fontId="105" fillId="0" borderId="10" xfId="0" applyFont="1" applyFill="1" applyBorder="1" applyAlignment="1">
      <alignment horizontal="left" vertical="center"/>
    </xf>
    <xf numFmtId="0" fontId="108" fillId="26" borderId="10" xfId="0" applyFont="1" applyFill="1" applyBorder="1" applyAlignment="1">
      <alignment horizontal="left" vertical="center" wrapText="1"/>
    </xf>
    <xf numFmtId="3" fontId="105" fillId="26" borderId="10" xfId="0" applyNumberFormat="1" applyFont="1" applyFill="1" applyBorder="1" applyAlignment="1">
      <alignment horizontal="right"/>
    </xf>
    <xf numFmtId="4" fontId="105" fillId="26" borderId="10" xfId="0" applyNumberFormat="1" applyFont="1" applyFill="1" applyBorder="1" applyAlignment="1">
      <alignment horizontal="right"/>
    </xf>
    <xf numFmtId="4" fontId="108" fillId="0" borderId="10" xfId="0" applyNumberFormat="1" applyFont="1" applyFill="1" applyBorder="1" applyAlignment="1">
      <alignment horizontal="right" vertical="center" wrapText="1"/>
    </xf>
    <xf numFmtId="4" fontId="108" fillId="0" borderId="10" xfId="0" applyNumberFormat="1" applyFont="1" applyFill="1" applyBorder="1" applyAlignment="1">
      <alignment horizontal="right" vertical="center"/>
    </xf>
    <xf numFmtId="3" fontId="105" fillId="0" borderId="0" xfId="0" applyNumberFormat="1" applyFont="1"/>
    <xf numFmtId="3" fontId="106" fillId="0" borderId="28" xfId="0" applyNumberFormat="1" applyFont="1" applyBorder="1" applyAlignment="1">
      <alignment horizontal="right"/>
    </xf>
    <xf numFmtId="3" fontId="106" fillId="26" borderId="28" xfId="0" applyNumberFormat="1" applyFont="1" applyFill="1" applyBorder="1" applyAlignment="1">
      <alignment horizontal="right"/>
    </xf>
    <xf numFmtId="3" fontId="106" fillId="24" borderId="28" xfId="0" applyNumberFormat="1" applyFont="1" applyFill="1" applyBorder="1" applyAlignment="1">
      <alignment horizontal="right"/>
    </xf>
    <xf numFmtId="3" fontId="108" fillId="0" borderId="28" xfId="0" applyNumberFormat="1" applyFont="1" applyFill="1" applyBorder="1" applyAlignment="1">
      <alignment horizontal="right" vertical="center" wrapText="1"/>
    </xf>
    <xf numFmtId="0" fontId="104" fillId="24" borderId="10" xfId="0" applyFont="1" applyFill="1" applyBorder="1" applyAlignment="1">
      <alignment horizontal="left" vertical="center" wrapText="1"/>
    </xf>
    <xf numFmtId="3" fontId="103" fillId="0" borderId="10" xfId="0" applyNumberFormat="1" applyFont="1" applyFill="1" applyBorder="1" applyAlignment="1">
      <alignment horizontal="right" vertical="center"/>
    </xf>
    <xf numFmtId="0" fontId="104" fillId="24" borderId="10" xfId="0" applyFont="1" applyFill="1" applyBorder="1" applyAlignment="1">
      <alignment horizontal="left" vertical="center"/>
    </xf>
    <xf numFmtId="0" fontId="93" fillId="0" borderId="10" xfId="0" applyFont="1" applyFill="1" applyBorder="1" applyAlignment="1">
      <alignment horizontal="left" vertical="center" wrapText="1"/>
    </xf>
    <xf numFmtId="0" fontId="67" fillId="0" borderId="10" xfId="0" applyFont="1" applyFill="1" applyBorder="1" applyAlignment="1">
      <alignment vertical="center"/>
    </xf>
    <xf numFmtId="0" fontId="92" fillId="27" borderId="35" xfId="0" applyFont="1" applyFill="1" applyBorder="1"/>
    <xf numFmtId="0" fontId="92" fillId="0" borderId="10" xfId="0" applyFont="1" applyFill="1" applyBorder="1" applyAlignment="1">
      <alignment horizontal="left" vertical="center" wrapText="1"/>
    </xf>
    <xf numFmtId="0" fontId="57" fillId="0" borderId="10" xfId="0" applyFont="1" applyFill="1" applyBorder="1" applyAlignment="1">
      <alignment horizontal="left" vertical="center" wrapText="1"/>
    </xf>
    <xf numFmtId="0" fontId="116" fillId="0" borderId="0" xfId="46" applyFont="1" applyAlignment="1">
      <alignment horizontal="center" wrapText="1"/>
    </xf>
    <xf numFmtId="0" fontId="177" fillId="0" borderId="0" xfId="46" applyFont="1"/>
    <xf numFmtId="0" fontId="102" fillId="0" borderId="0" xfId="0" applyFont="1" applyAlignment="1">
      <alignment horizontal="right" vertical="center"/>
    </xf>
    <xf numFmtId="0" fontId="102" fillId="0" borderId="0" xfId="46" applyFont="1" applyAlignment="1">
      <alignment horizontal="center"/>
    </xf>
    <xf numFmtId="0" fontId="22" fillId="0" borderId="43" xfId="46" applyFont="1" applyFill="1" applyBorder="1" applyAlignment="1">
      <alignment horizontal="center" vertical="center"/>
    </xf>
    <xf numFmtId="0" fontId="22" fillId="0" borderId="57" xfId="46" applyFont="1" applyBorder="1" applyAlignment="1">
      <alignment horizontal="center" vertical="center" wrapText="1"/>
    </xf>
    <xf numFmtId="0" fontId="57" fillId="0" borderId="46" xfId="46" applyFont="1" applyBorder="1" applyAlignment="1">
      <alignment horizontal="center" vertical="center" wrapText="1"/>
    </xf>
    <xf numFmtId="0" fontId="57" fillId="0" borderId="43" xfId="46" applyFont="1" applyBorder="1" applyAlignment="1">
      <alignment horizontal="center" vertical="center" wrapText="1"/>
    </xf>
    <xf numFmtId="0" fontId="57" fillId="0" borderId="50" xfId="46" applyFont="1" applyBorder="1" applyAlignment="1">
      <alignment horizontal="center" vertical="center" wrapText="1"/>
    </xf>
    <xf numFmtId="0" fontId="57" fillId="0" borderId="39" xfId="46" applyFont="1" applyBorder="1" applyAlignment="1">
      <alignment horizontal="center" vertical="center" wrapText="1"/>
    </xf>
    <xf numFmtId="0" fontId="104" fillId="24" borderId="35" xfId="0" applyFont="1" applyFill="1" applyBorder="1" applyAlignment="1">
      <alignment horizontal="left" vertical="center" wrapText="1"/>
    </xf>
    <xf numFmtId="0" fontId="149" fillId="0" borderId="10" xfId="0" applyFont="1" applyFill="1" applyBorder="1" applyAlignment="1">
      <alignment horizontal="left" vertical="center" wrapText="1"/>
    </xf>
    <xf numFmtId="0" fontId="108" fillId="0" borderId="10" xfId="46" applyFont="1" applyFill="1" applyBorder="1" applyAlignment="1">
      <alignment horizontal="left" vertical="center" wrapText="1"/>
    </xf>
    <xf numFmtId="0" fontId="145" fillId="0" borderId="10" xfId="0" applyFont="1" applyFill="1" applyBorder="1" applyAlignment="1">
      <alignment horizontal="left" vertical="center" wrapText="1"/>
    </xf>
    <xf numFmtId="0" fontId="108" fillId="0" borderId="10" xfId="46" applyFont="1" applyBorder="1"/>
    <xf numFmtId="0" fontId="108" fillId="0" borderId="10" xfId="46" applyFont="1" applyBorder="1" applyAlignment="1">
      <alignment wrapText="1"/>
    </xf>
    <xf numFmtId="0" fontId="67" fillId="0" borderId="10" xfId="0" applyFont="1" applyFill="1" applyBorder="1" applyAlignment="1">
      <alignment horizontal="left" vertical="center"/>
    </xf>
    <xf numFmtId="0" fontId="134" fillId="0" borderId="10" xfId="0" applyFont="1" applyFill="1" applyBorder="1" applyAlignment="1">
      <alignment horizontal="left" vertical="center"/>
    </xf>
    <xf numFmtId="0" fontId="160" fillId="0" borderId="10" xfId="46" applyFont="1" applyFill="1" applyBorder="1" applyAlignment="1">
      <alignment horizontal="left" vertical="center"/>
    </xf>
    <xf numFmtId="0" fontId="160" fillId="0" borderId="10" xfId="0" applyFont="1" applyFill="1" applyBorder="1" applyAlignment="1">
      <alignment horizontal="left" vertical="center"/>
    </xf>
    <xf numFmtId="0" fontId="134" fillId="0" borderId="27" xfId="0" applyFont="1" applyFill="1" applyBorder="1" applyAlignment="1">
      <alignment horizontal="center" vertical="center"/>
    </xf>
    <xf numFmtId="0" fontId="160" fillId="0" borderId="27" xfId="46" applyFont="1" applyFill="1" applyBorder="1" applyAlignment="1">
      <alignment horizontal="center" vertical="center"/>
    </xf>
    <xf numFmtId="0" fontId="160" fillId="0" borderId="27" xfId="0" applyFont="1" applyFill="1" applyBorder="1" applyAlignment="1">
      <alignment horizontal="center" vertical="center"/>
    </xf>
    <xf numFmtId="4" fontId="108" fillId="0" borderId="28" xfId="46" applyNumberFormat="1" applyFont="1" applyFill="1" applyBorder="1"/>
    <xf numFmtId="4" fontId="109" fillId="0" borderId="28" xfId="46" applyNumberFormat="1" applyFont="1" applyFill="1" applyBorder="1"/>
    <xf numFmtId="0" fontId="104" fillId="24" borderId="34" xfId="0" applyFont="1" applyFill="1" applyBorder="1" applyAlignment="1">
      <alignment horizontal="center" vertical="center"/>
    </xf>
    <xf numFmtId="0" fontId="104" fillId="24" borderId="35" xfId="0" applyFont="1" applyFill="1" applyBorder="1" applyAlignment="1">
      <alignment horizontal="left" vertical="center"/>
    </xf>
    <xf numFmtId="3" fontId="104" fillId="24" borderId="44" xfId="46" applyNumberFormat="1" applyFont="1" applyFill="1" applyBorder="1"/>
    <xf numFmtId="4" fontId="104" fillId="24" borderId="35" xfId="46" applyNumberFormat="1" applyFont="1" applyFill="1" applyBorder="1"/>
    <xf numFmtId="3" fontId="104" fillId="24" borderId="62" xfId="46" applyNumberFormat="1" applyFont="1" applyFill="1" applyBorder="1"/>
    <xf numFmtId="4" fontId="104" fillId="24" borderId="36" xfId="46" applyNumberFormat="1" applyFont="1" applyFill="1" applyBorder="1"/>
    <xf numFmtId="0" fontId="104" fillId="24" borderId="27" xfId="0" applyFont="1" applyFill="1" applyBorder="1" applyAlignment="1">
      <alignment horizontal="center" vertical="center"/>
    </xf>
    <xf numFmtId="3" fontId="104" fillId="24" borderId="16" xfId="46" applyNumberFormat="1" applyFont="1" applyFill="1" applyBorder="1"/>
    <xf numFmtId="4" fontId="104" fillId="24" borderId="10" xfId="46" applyNumberFormat="1" applyFont="1" applyFill="1" applyBorder="1"/>
    <xf numFmtId="3" fontId="104" fillId="24" borderId="53" xfId="46" applyNumberFormat="1" applyFont="1" applyFill="1" applyBorder="1"/>
    <xf numFmtId="4" fontId="104" fillId="24" borderId="28" xfId="46" applyNumberFormat="1" applyFont="1" applyFill="1" applyBorder="1"/>
    <xf numFmtId="4" fontId="57" fillId="0" borderId="30" xfId="47" applyNumberFormat="1" applyFont="1" applyFill="1" applyBorder="1" applyAlignment="1">
      <alignment horizontal="right" vertical="center" wrapText="1"/>
    </xf>
    <xf numFmtId="4" fontId="67" fillId="0" borderId="30" xfId="47" applyNumberFormat="1" applyFont="1" applyFill="1" applyBorder="1" applyAlignment="1">
      <alignment horizontal="right" vertical="center" wrapText="1"/>
    </xf>
    <xf numFmtId="4" fontId="57" fillId="0" borderId="28" xfId="0" applyNumberFormat="1" applyFont="1" applyFill="1" applyBorder="1" applyAlignment="1">
      <alignment horizontal="right"/>
    </xf>
    <xf numFmtId="4" fontId="57" fillId="0" borderId="30" xfId="0" applyNumberFormat="1" applyFont="1" applyBorder="1" applyAlignment="1">
      <alignment horizontal="right"/>
    </xf>
    <xf numFmtId="4" fontId="92" fillId="0" borderId="17" xfId="0" applyNumberFormat="1" applyFont="1" applyBorder="1" applyAlignment="1">
      <alignment horizontal="right"/>
    </xf>
    <xf numFmtId="0" fontId="179" fillId="0" borderId="0" xfId="0" applyFont="1" applyAlignment="1"/>
    <xf numFmtId="0" fontId="102" fillId="0" borderId="0" xfId="0" applyFont="1"/>
    <xf numFmtId="0" fontId="142" fillId="0" borderId="0" xfId="0" applyFont="1" applyAlignment="1"/>
    <xf numFmtId="0" fontId="102" fillId="0" borderId="0" xfId="0" applyFont="1" applyAlignment="1">
      <alignment horizontal="center"/>
    </xf>
    <xf numFmtId="0" fontId="102" fillId="0" borderId="0" xfId="0" applyFont="1" applyFill="1"/>
    <xf numFmtId="0" fontId="102" fillId="0" borderId="0" xfId="0" applyFont="1" applyAlignment="1">
      <alignment horizontal="right"/>
    </xf>
    <xf numFmtId="0" fontId="57" fillId="0" borderId="46" xfId="0" applyFont="1" applyFill="1" applyBorder="1" applyAlignment="1">
      <alignment horizontal="center" vertical="center" wrapText="1"/>
    </xf>
    <xf numFmtId="0" fontId="57" fillId="0" borderId="43" xfId="0" applyFont="1" applyFill="1" applyBorder="1" applyAlignment="1">
      <alignment horizontal="center" vertical="center" wrapText="1"/>
    </xf>
    <xf numFmtId="0" fontId="57" fillId="0" borderId="43" xfId="0" applyFont="1" applyFill="1" applyBorder="1" applyAlignment="1">
      <alignment horizontal="center" vertical="center"/>
    </xf>
    <xf numFmtId="0" fontId="57" fillId="0" borderId="57" xfId="46" applyFont="1" applyBorder="1" applyAlignment="1">
      <alignment horizontal="center" vertical="center" wrapText="1"/>
    </xf>
    <xf numFmtId="0" fontId="57" fillId="0" borderId="54" xfId="46" applyFont="1" applyBorder="1" applyAlignment="1">
      <alignment horizontal="center" vertical="center" wrapText="1"/>
    </xf>
    <xf numFmtId="0" fontId="92" fillId="0" borderId="0" xfId="46" applyFont="1" applyBorder="1" applyAlignment="1">
      <alignment horizontal="center" vertical="center" wrapText="1"/>
    </xf>
    <xf numFmtId="0" fontId="93" fillId="0" borderId="0" xfId="0" applyFont="1" applyAlignment="1">
      <alignment vertical="center"/>
    </xf>
    <xf numFmtId="0" fontId="108" fillId="0" borderId="10" xfId="0" applyFont="1" applyBorder="1" applyAlignment="1">
      <alignment vertical="center" wrapText="1"/>
    </xf>
    <xf numFmtId="0" fontId="108" fillId="34" borderId="10" xfId="0" applyFont="1" applyFill="1" applyBorder="1" applyAlignment="1">
      <alignment vertical="center" wrapText="1"/>
    </xf>
    <xf numFmtId="0" fontId="180" fillId="0" borderId="10" xfId="0" applyFont="1" applyFill="1" applyBorder="1"/>
    <xf numFmtId="0" fontId="108" fillId="0" borderId="23" xfId="0" applyFont="1" applyFill="1" applyBorder="1" applyAlignment="1">
      <alignment horizontal="left" vertical="center" wrapText="1"/>
    </xf>
    <xf numFmtId="3" fontId="103" fillId="0" borderId="27" xfId="0" applyNumberFormat="1" applyFont="1" applyBorder="1" applyAlignment="1">
      <alignment horizontal="right" vertical="center"/>
    </xf>
    <xf numFmtId="3" fontId="103" fillId="0" borderId="38" xfId="0" applyNumberFormat="1" applyFont="1" applyBorder="1" applyAlignment="1">
      <alignment horizontal="right" vertical="center"/>
    </xf>
    <xf numFmtId="3" fontId="103" fillId="0" borderId="10" xfId="0" applyNumberFormat="1" applyFont="1" applyBorder="1" applyAlignment="1">
      <alignment horizontal="right" vertical="center"/>
    </xf>
    <xf numFmtId="3" fontId="103" fillId="0" borderId="38" xfId="0" applyNumberFormat="1" applyFont="1" applyFill="1" applyBorder="1" applyAlignment="1">
      <alignment horizontal="right" vertical="center"/>
    </xf>
    <xf numFmtId="3" fontId="103" fillId="0" borderId="27" xfId="0" applyNumberFormat="1" applyFont="1" applyFill="1" applyBorder="1" applyAlignment="1">
      <alignment horizontal="right" vertical="center"/>
    </xf>
    <xf numFmtId="3" fontId="103" fillId="0" borderId="31" xfId="0" applyNumberFormat="1" applyFont="1" applyBorder="1" applyAlignment="1">
      <alignment horizontal="right" vertical="center"/>
    </xf>
    <xf numFmtId="3" fontId="103" fillId="0" borderId="23" xfId="0" applyNumberFormat="1" applyFont="1" applyFill="1" applyBorder="1" applyAlignment="1">
      <alignment horizontal="right" vertical="center"/>
    </xf>
    <xf numFmtId="3" fontId="103" fillId="0" borderId="42" xfId="0" applyNumberFormat="1" applyFont="1" applyFill="1" applyBorder="1" applyAlignment="1">
      <alignment horizontal="right" vertical="center"/>
    </xf>
    <xf numFmtId="3" fontId="104" fillId="0" borderId="18" xfId="0" applyNumberFormat="1" applyFont="1" applyFill="1" applyBorder="1" applyAlignment="1">
      <alignment horizontal="right" vertical="center"/>
    </xf>
    <xf numFmtId="3" fontId="104" fillId="0" borderId="19" xfId="0" applyNumberFormat="1" applyFont="1" applyFill="1" applyBorder="1" applyAlignment="1">
      <alignment horizontal="right" vertical="center"/>
    </xf>
    <xf numFmtId="3" fontId="104" fillId="0" borderId="20" xfId="0" applyNumberFormat="1" applyFont="1" applyFill="1" applyBorder="1" applyAlignment="1">
      <alignment horizontal="right" vertical="center"/>
    </xf>
    <xf numFmtId="0" fontId="104" fillId="0" borderId="18" xfId="0" applyFont="1" applyFill="1" applyBorder="1" applyAlignment="1">
      <alignment horizontal="left"/>
    </xf>
    <xf numFmtId="0" fontId="104" fillId="0" borderId="19" xfId="0" applyFont="1" applyFill="1" applyBorder="1"/>
    <xf numFmtId="0" fontId="104" fillId="0" borderId="19" xfId="0" applyFont="1" applyBorder="1"/>
    <xf numFmtId="3" fontId="104" fillId="0" borderId="51" xfId="0" applyNumberFormat="1" applyFont="1" applyFill="1" applyBorder="1" applyAlignment="1">
      <alignment horizontal="right" vertical="center"/>
    </xf>
    <xf numFmtId="3" fontId="102" fillId="0" borderId="0" xfId="0" applyNumberFormat="1" applyFont="1" applyBorder="1" applyAlignment="1">
      <alignment horizontal="right" vertical="center"/>
    </xf>
    <xf numFmtId="4" fontId="104" fillId="0" borderId="17" xfId="0" applyNumberFormat="1" applyFont="1" applyFill="1" applyBorder="1" applyAlignment="1">
      <alignment horizontal="right" vertical="center"/>
    </xf>
    <xf numFmtId="4" fontId="67" fillId="0" borderId="17" xfId="0" applyNumberFormat="1" applyFont="1" applyFill="1" applyBorder="1" applyAlignment="1">
      <alignment horizontal="right" vertical="center"/>
    </xf>
    <xf numFmtId="4" fontId="57" fillId="29" borderId="17" xfId="0" applyNumberFormat="1" applyFont="1" applyFill="1" applyBorder="1" applyAlignment="1">
      <alignment horizontal="right" vertical="center"/>
    </xf>
    <xf numFmtId="4" fontId="67" fillId="0" borderId="30" xfId="0" applyNumberFormat="1" applyFont="1" applyFill="1" applyBorder="1" applyAlignment="1">
      <alignment horizontal="right" vertical="center"/>
    </xf>
    <xf numFmtId="4" fontId="67" fillId="0" borderId="75" xfId="0" applyNumberFormat="1" applyFont="1" applyFill="1" applyBorder="1" applyAlignment="1">
      <alignment horizontal="right" vertical="center"/>
    </xf>
    <xf numFmtId="4" fontId="67" fillId="0" borderId="28" xfId="0" applyNumberFormat="1" applyFont="1" applyBorder="1" applyAlignment="1">
      <alignment horizontal="right" vertical="center"/>
    </xf>
    <xf numFmtId="4" fontId="67" fillId="0" borderId="30" xfId="0" applyNumberFormat="1" applyFont="1" applyBorder="1" applyAlignment="1">
      <alignment horizontal="right" vertical="center"/>
    </xf>
    <xf numFmtId="4" fontId="67" fillId="0" borderId="29" xfId="0" applyNumberFormat="1" applyFont="1" applyBorder="1" applyAlignment="1">
      <alignment horizontal="right" vertical="center"/>
    </xf>
    <xf numFmtId="4" fontId="57" fillId="24" borderId="17" xfId="0" applyNumberFormat="1" applyFont="1" applyFill="1" applyBorder="1" applyAlignment="1">
      <alignment horizontal="right" vertical="center"/>
    </xf>
    <xf numFmtId="168" fontId="21" fillId="0" borderId="17" xfId="68" applyNumberFormat="1" applyFont="1" applyBorder="1" applyAlignment="1">
      <alignment horizontal="center" vertical="center" wrapText="1"/>
    </xf>
    <xf numFmtId="3" fontId="51" fillId="0" borderId="28" xfId="68" applyNumberFormat="1" applyFont="1" applyFill="1" applyBorder="1" applyAlignment="1">
      <alignment vertical="center"/>
    </xf>
    <xf numFmtId="3" fontId="22" fillId="29" borderId="17" xfId="31" applyNumberFormat="1" applyFont="1" applyFill="1" applyBorder="1" applyAlignment="1">
      <alignment horizontal="right" vertical="center"/>
    </xf>
    <xf numFmtId="3" fontId="51" fillId="0" borderId="30" xfId="68" applyNumberFormat="1" applyFont="1" applyFill="1" applyBorder="1" applyAlignment="1">
      <alignment vertical="center"/>
    </xf>
    <xf numFmtId="3" fontId="22" fillId="24" borderId="17" xfId="31" applyNumberFormat="1" applyFont="1" applyFill="1" applyBorder="1" applyAlignment="1">
      <alignment horizontal="right" vertical="center"/>
    </xf>
    <xf numFmtId="4" fontId="161" fillId="0" borderId="28" xfId="0" applyNumberFormat="1" applyFont="1" applyFill="1" applyBorder="1" applyAlignment="1">
      <alignment horizontal="right" vertical="center"/>
    </xf>
    <xf numFmtId="3" fontId="162" fillId="29" borderId="29" xfId="0" applyNumberFormat="1" applyFont="1" applyFill="1" applyBorder="1" applyAlignment="1">
      <alignment horizontal="right" vertical="center"/>
    </xf>
    <xf numFmtId="4" fontId="162" fillId="24" borderId="17" xfId="0" applyNumberFormat="1" applyFont="1" applyFill="1" applyBorder="1" applyAlignment="1">
      <alignment horizontal="right" vertical="center"/>
    </xf>
    <xf numFmtId="0" fontId="161" fillId="34" borderId="16" xfId="68" applyFont="1" applyFill="1" applyBorder="1" applyAlignment="1">
      <alignment vertical="center" wrapText="1"/>
    </xf>
    <xf numFmtId="0" fontId="161" fillId="0" borderId="16" xfId="68" applyFont="1" applyFill="1" applyBorder="1" applyAlignment="1">
      <alignment vertical="center" wrapText="1"/>
    </xf>
    <xf numFmtId="165" fontId="162" fillId="29" borderId="16" xfId="0" applyNumberFormat="1" applyFont="1" applyFill="1" applyBorder="1" applyAlignment="1">
      <alignment horizontal="left" vertical="center"/>
    </xf>
    <xf numFmtId="0" fontId="161" fillId="34" borderId="16" xfId="68" applyFont="1" applyFill="1" applyBorder="1" applyAlignment="1">
      <alignment horizontal="left" vertical="center"/>
    </xf>
    <xf numFmtId="0" fontId="161" fillId="34" borderId="16" xfId="68" applyFont="1" applyFill="1" applyBorder="1" applyAlignment="1">
      <alignment horizontal="left" vertical="center" wrapText="1"/>
    </xf>
    <xf numFmtId="0" fontId="161" fillId="34" borderId="40" xfId="68" applyFont="1" applyFill="1" applyBorder="1" applyAlignment="1">
      <alignment horizontal="left" vertical="center"/>
    </xf>
    <xf numFmtId="165" fontId="161" fillId="34" borderId="16" xfId="0" applyNumberFormat="1" applyFont="1" applyFill="1" applyBorder="1" applyAlignment="1">
      <alignment horizontal="left" vertical="center" wrapText="1"/>
    </xf>
    <xf numFmtId="0" fontId="161" fillId="0" borderId="16" xfId="61" applyFont="1" applyFill="1" applyBorder="1" applyAlignment="1">
      <alignment vertical="center" wrapText="1"/>
    </xf>
    <xf numFmtId="165" fontId="161" fillId="34" borderId="16" xfId="0" applyNumberFormat="1" applyFont="1" applyFill="1" applyBorder="1" applyAlignment="1">
      <alignment horizontal="left" vertical="center"/>
    </xf>
    <xf numFmtId="165" fontId="161" fillId="0" borderId="16" xfId="0" applyNumberFormat="1" applyFont="1" applyFill="1" applyBorder="1" applyAlignment="1">
      <alignment horizontal="left" vertical="center"/>
    </xf>
    <xf numFmtId="165" fontId="162" fillId="29" borderId="40" xfId="0" applyNumberFormat="1" applyFont="1" applyFill="1" applyBorder="1" applyAlignment="1">
      <alignment horizontal="left" vertical="center"/>
    </xf>
    <xf numFmtId="165" fontId="162" fillId="24" borderId="51" xfId="0" applyNumberFormat="1" applyFont="1" applyFill="1" applyBorder="1" applyAlignment="1">
      <alignment horizontal="left" vertical="center"/>
    </xf>
    <xf numFmtId="0" fontId="57" fillId="0" borderId="10" xfId="0" applyFont="1" applyFill="1" applyBorder="1" applyAlignment="1">
      <alignment vertical="center" wrapText="1"/>
    </xf>
    <xf numFmtId="0" fontId="134" fillId="26" borderId="10" xfId="0" applyFont="1" applyFill="1" applyBorder="1"/>
    <xf numFmtId="0" fontId="57" fillId="0" borderId="10" xfId="0" applyFont="1" applyFill="1" applyBorder="1" applyAlignment="1">
      <alignment horizontal="left" vertical="center"/>
    </xf>
    <xf numFmtId="0" fontId="57" fillId="27" borderId="35" xfId="0" applyFont="1" applyFill="1" applyBorder="1"/>
    <xf numFmtId="167" fontId="67" fillId="0" borderId="27" xfId="0" applyNumberFormat="1" applyFont="1" applyFill="1" applyBorder="1" applyAlignment="1">
      <alignment vertical="center"/>
    </xf>
    <xf numFmtId="167" fontId="57" fillId="0" borderId="27" xfId="0" applyNumberFormat="1" applyFont="1" applyFill="1" applyBorder="1" applyAlignment="1">
      <alignment vertical="center"/>
    </xf>
    <xf numFmtId="0" fontId="57" fillId="26" borderId="27" xfId="46" applyFont="1" applyFill="1" applyBorder="1" applyAlignment="1">
      <alignment horizontal="left" vertical="center" wrapText="1"/>
    </xf>
    <xf numFmtId="167" fontId="57" fillId="26" borderId="27" xfId="0" applyNumberFormat="1" applyFont="1" applyFill="1" applyBorder="1" applyAlignment="1">
      <alignment vertical="center"/>
    </xf>
    <xf numFmtId="0" fontId="57" fillId="24" borderId="27" xfId="0" applyFont="1" applyFill="1" applyBorder="1" applyAlignment="1">
      <alignment horizontal="left" vertical="center" wrapText="1"/>
    </xf>
    <xf numFmtId="0" fontId="57" fillId="0" borderId="27" xfId="0" applyFont="1" applyFill="1" applyBorder="1" applyAlignment="1">
      <alignment horizontal="left" vertical="center" wrapText="1"/>
    </xf>
    <xf numFmtId="0" fontId="67" fillId="27" borderId="34" xfId="0" applyFont="1" applyFill="1" applyBorder="1"/>
    <xf numFmtId="3" fontId="108" fillId="0" borderId="27" xfId="0" applyNumberFormat="1" applyFont="1" applyBorder="1" applyAlignment="1">
      <alignment horizontal="right"/>
    </xf>
    <xf numFmtId="3" fontId="108" fillId="0" borderId="10" xfId="0" applyNumberFormat="1" applyFont="1" applyBorder="1" applyAlignment="1">
      <alignment horizontal="right"/>
    </xf>
    <xf numFmtId="4" fontId="108" fillId="0" borderId="10" xfId="0" applyNumberFormat="1" applyFont="1" applyBorder="1" applyAlignment="1">
      <alignment horizontal="right"/>
    </xf>
    <xf numFmtId="3" fontId="108" fillId="0" borderId="53" xfId="0" applyNumberFormat="1" applyFont="1" applyBorder="1" applyAlignment="1">
      <alignment horizontal="right"/>
    </xf>
    <xf numFmtId="4" fontId="108" fillId="0" borderId="28" xfId="0" applyNumberFormat="1" applyFont="1" applyBorder="1" applyAlignment="1">
      <alignment horizontal="right"/>
    </xf>
    <xf numFmtId="3" fontId="109" fillId="0" borderId="27" xfId="0" applyNumberFormat="1" applyFont="1" applyBorder="1" applyAlignment="1">
      <alignment horizontal="right"/>
    </xf>
    <xf numFmtId="3" fontId="109" fillId="0" borderId="10" xfId="0" applyNumberFormat="1" applyFont="1" applyFill="1" applyBorder="1" applyAlignment="1">
      <alignment horizontal="right"/>
    </xf>
    <xf numFmtId="4" fontId="109" fillId="0" borderId="10" xfId="0" applyNumberFormat="1" applyFont="1" applyFill="1" applyBorder="1" applyAlignment="1">
      <alignment horizontal="right"/>
    </xf>
    <xf numFmtId="3" fontId="109" fillId="0" borderId="53" xfId="0" applyNumberFormat="1" applyFont="1" applyBorder="1" applyAlignment="1">
      <alignment horizontal="right"/>
    </xf>
    <xf numFmtId="3" fontId="109" fillId="0" borderId="10" xfId="0" applyNumberFormat="1" applyFont="1" applyBorder="1" applyAlignment="1">
      <alignment horizontal="right"/>
    </xf>
    <xf numFmtId="4" fontId="109" fillId="0" borderId="10" xfId="0" applyNumberFormat="1" applyFont="1" applyBorder="1" applyAlignment="1">
      <alignment horizontal="right"/>
    </xf>
    <xf numFmtId="3" fontId="109" fillId="0" borderId="28" xfId="0" applyNumberFormat="1" applyFont="1" applyBorder="1" applyAlignment="1">
      <alignment horizontal="right"/>
    </xf>
    <xf numFmtId="3" fontId="108" fillId="0" borderId="28" xfId="0" applyNumberFormat="1" applyFont="1" applyBorder="1" applyAlignment="1">
      <alignment horizontal="right"/>
    </xf>
    <xf numFmtId="4" fontId="109" fillId="0" borderId="28" xfId="0" applyNumberFormat="1" applyFont="1" applyBorder="1" applyAlignment="1">
      <alignment horizontal="right"/>
    </xf>
    <xf numFmtId="3" fontId="109" fillId="26" borderId="27" xfId="0" applyNumberFormat="1" applyFont="1" applyFill="1" applyBorder="1" applyAlignment="1">
      <alignment horizontal="right"/>
    </xf>
    <xf numFmtId="3" fontId="109" fillId="26" borderId="10" xfId="0" applyNumberFormat="1" applyFont="1" applyFill="1" applyBorder="1" applyAlignment="1">
      <alignment horizontal="right"/>
    </xf>
    <xf numFmtId="4" fontId="109" fillId="26" borderId="10" xfId="0" applyNumberFormat="1" applyFont="1" applyFill="1" applyBorder="1" applyAlignment="1">
      <alignment horizontal="right"/>
    </xf>
    <xf numFmtId="3" fontId="109" fillId="26" borderId="53" xfId="0" applyNumberFormat="1" applyFont="1" applyFill="1" applyBorder="1" applyAlignment="1">
      <alignment horizontal="right"/>
    </xf>
    <xf numFmtId="4" fontId="109" fillId="26" borderId="28" xfId="0" applyNumberFormat="1" applyFont="1" applyFill="1" applyBorder="1" applyAlignment="1">
      <alignment horizontal="right"/>
    </xf>
    <xf numFmtId="3" fontId="109" fillId="24" borderId="27" xfId="0" applyNumberFormat="1" applyFont="1" applyFill="1" applyBorder="1" applyAlignment="1">
      <alignment horizontal="right"/>
    </xf>
    <xf numFmtId="3" fontId="109" fillId="24" borderId="10" xfId="0" applyNumberFormat="1" applyFont="1" applyFill="1" applyBorder="1" applyAlignment="1">
      <alignment horizontal="right"/>
    </xf>
    <xf numFmtId="4" fontId="109" fillId="24" borderId="10" xfId="0" applyNumberFormat="1" applyFont="1" applyFill="1" applyBorder="1" applyAlignment="1">
      <alignment horizontal="right"/>
    </xf>
    <xf numFmtId="3" fontId="109" fillId="24" borderId="53" xfId="0" applyNumberFormat="1" applyFont="1" applyFill="1" applyBorder="1" applyAlignment="1">
      <alignment horizontal="right"/>
    </xf>
    <xf numFmtId="4" fontId="109" fillId="24" borderId="28" xfId="0" applyNumberFormat="1" applyFont="1" applyFill="1" applyBorder="1" applyAlignment="1">
      <alignment horizontal="right"/>
    </xf>
    <xf numFmtId="3" fontId="108" fillId="0" borderId="27" xfId="0" applyNumberFormat="1" applyFont="1" applyFill="1" applyBorder="1" applyAlignment="1">
      <alignment horizontal="right"/>
    </xf>
    <xf numFmtId="3" fontId="108" fillId="0" borderId="10" xfId="0" applyNumberFormat="1" applyFont="1" applyFill="1" applyBorder="1" applyAlignment="1">
      <alignment horizontal="right"/>
    </xf>
    <xf numFmtId="4" fontId="108" fillId="0" borderId="10" xfId="0" applyNumberFormat="1" applyFont="1" applyFill="1" applyBorder="1" applyAlignment="1">
      <alignment horizontal="right"/>
    </xf>
    <xf numFmtId="3" fontId="108" fillId="0" borderId="28" xfId="0" applyNumberFormat="1" applyFont="1" applyFill="1" applyBorder="1" applyAlignment="1">
      <alignment horizontal="right"/>
    </xf>
    <xf numFmtId="3" fontId="109" fillId="0" borderId="27" xfId="0" applyNumberFormat="1" applyFont="1" applyFill="1" applyBorder="1" applyAlignment="1">
      <alignment horizontal="right"/>
    </xf>
    <xf numFmtId="3" fontId="109" fillId="0" borderId="53" xfId="0" applyNumberFormat="1" applyFont="1" applyFill="1" applyBorder="1" applyAlignment="1">
      <alignment horizontal="right"/>
    </xf>
    <xf numFmtId="3" fontId="109" fillId="0" borderId="28" xfId="0" applyNumberFormat="1" applyFont="1" applyFill="1" applyBorder="1" applyAlignment="1">
      <alignment horizontal="right"/>
    </xf>
    <xf numFmtId="4" fontId="109" fillId="27" borderId="36" xfId="0" applyNumberFormat="1" applyFont="1" applyFill="1" applyBorder="1"/>
    <xf numFmtId="0" fontId="105" fillId="0" borderId="61" xfId="46" applyFont="1" applyBorder="1"/>
    <xf numFmtId="0" fontId="105" fillId="0" borderId="58" xfId="46" applyFont="1" applyBorder="1"/>
    <xf numFmtId="0" fontId="105" fillId="0" borderId="71" xfId="46" applyFont="1" applyBorder="1"/>
    <xf numFmtId="0" fontId="50" fillId="0" borderId="26" xfId="0" applyFont="1" applyFill="1" applyBorder="1" applyAlignment="1">
      <alignment horizontal="center" vertical="center" wrapText="1"/>
    </xf>
    <xf numFmtId="0" fontId="50" fillId="0" borderId="24" xfId="0" applyFont="1" applyFill="1" applyBorder="1" applyAlignment="1">
      <alignment horizontal="center" vertical="center"/>
    </xf>
    <xf numFmtId="0" fontId="50" fillId="0" borderId="57" xfId="46" applyFont="1" applyBorder="1" applyAlignment="1">
      <alignment horizontal="center" vertical="center" wrapText="1"/>
    </xf>
    <xf numFmtId="0" fontId="50" fillId="0" borderId="46" xfId="46" applyFont="1" applyBorder="1" applyAlignment="1">
      <alignment horizontal="center" vertical="center" wrapText="1"/>
    </xf>
    <xf numFmtId="0" fontId="50" fillId="0" borderId="43" xfId="46" applyFont="1" applyBorder="1" applyAlignment="1">
      <alignment horizontal="center" vertical="center" wrapText="1"/>
    </xf>
    <xf numFmtId="0" fontId="50" fillId="0" borderId="50" xfId="46" applyFont="1" applyBorder="1" applyAlignment="1">
      <alignment horizontal="center" vertical="center" wrapText="1"/>
    </xf>
    <xf numFmtId="0" fontId="50" fillId="0" borderId="39" xfId="46" applyFont="1" applyBorder="1" applyAlignment="1">
      <alignment horizontal="center" vertical="center" wrapText="1"/>
    </xf>
    <xf numFmtId="0" fontId="50" fillId="0" borderId="0" xfId="0" applyFont="1" applyAlignment="1">
      <alignment vertical="center"/>
    </xf>
    <xf numFmtId="0" fontId="105" fillId="0" borderId="27" xfId="0" applyFont="1" applyFill="1" applyBorder="1" applyAlignment="1">
      <alignment horizontal="left" vertical="center"/>
    </xf>
    <xf numFmtId="0" fontId="106" fillId="24" borderId="27" xfId="0" applyFont="1" applyFill="1" applyBorder="1" applyAlignment="1">
      <alignment horizontal="left" vertical="center"/>
    </xf>
    <xf numFmtId="0" fontId="105" fillId="0" borderId="27" xfId="0" applyFont="1" applyFill="1" applyBorder="1" applyAlignment="1">
      <alignment horizontal="left" vertical="center" wrapText="1"/>
    </xf>
    <xf numFmtId="0" fontId="108" fillId="0" borderId="10" xfId="0" applyFont="1" applyFill="1" applyBorder="1" applyAlignment="1">
      <alignment horizontal="left" vertical="center"/>
    </xf>
    <xf numFmtId="0" fontId="106" fillId="0" borderId="27" xfId="0" applyFont="1" applyFill="1" applyBorder="1" applyAlignment="1">
      <alignment horizontal="left" vertical="center" wrapText="1"/>
    </xf>
    <xf numFmtId="0" fontId="105" fillId="27" borderId="34" xfId="0" applyFont="1" applyFill="1" applyBorder="1"/>
    <xf numFmtId="0" fontId="93" fillId="0" borderId="27" xfId="46" applyFont="1" applyFill="1" applyBorder="1" applyAlignment="1">
      <alignment horizontal="left" vertical="center"/>
    </xf>
    <xf numFmtId="0" fontId="92" fillId="26" borderId="27" xfId="46" applyFont="1" applyFill="1" applyBorder="1" applyAlignment="1">
      <alignment horizontal="left" vertical="center"/>
    </xf>
    <xf numFmtId="0" fontId="92" fillId="26" borderId="10" xfId="46" applyFont="1" applyFill="1" applyBorder="1" applyAlignment="1">
      <alignment horizontal="left" vertical="center" wrapText="1"/>
    </xf>
    <xf numFmtId="0" fontId="93" fillId="0" borderId="10" xfId="46" applyFont="1" applyFill="1" applyBorder="1" applyAlignment="1">
      <alignment horizontal="left" vertical="center" wrapText="1"/>
    </xf>
    <xf numFmtId="0" fontId="92" fillId="28" borderId="27" xfId="0" applyFont="1" applyFill="1" applyBorder="1" applyAlignment="1">
      <alignment horizontal="left" vertical="center"/>
    </xf>
    <xf numFmtId="0" fontId="92" fillId="28" borderId="10" xfId="0" applyFont="1" applyFill="1" applyBorder="1"/>
    <xf numFmtId="0" fontId="92" fillId="0" borderId="27" xfId="0" applyFont="1" applyFill="1" applyBorder="1" applyAlignment="1">
      <alignment horizontal="left" vertical="center" wrapText="1"/>
    </xf>
    <xf numFmtId="0" fontId="92" fillId="24" borderId="27" xfId="46" applyFont="1" applyFill="1" applyBorder="1" applyAlignment="1">
      <alignment horizontal="left" vertical="center"/>
    </xf>
    <xf numFmtId="0" fontId="92" fillId="24" borderId="10" xfId="46" applyFont="1" applyFill="1" applyBorder="1" applyAlignment="1">
      <alignment horizontal="left" vertical="center" wrapText="1"/>
    </xf>
    <xf numFmtId="0" fontId="93" fillId="0" borderId="61" xfId="46" applyFont="1" applyBorder="1" applyAlignment="1">
      <alignment horizontal="center" vertical="center"/>
    </xf>
    <xf numFmtId="0" fontId="93" fillId="0" borderId="72" xfId="46" applyFont="1" applyBorder="1" applyAlignment="1">
      <alignment horizontal="center" vertical="center"/>
    </xf>
    <xf numFmtId="0" fontId="93" fillId="0" borderId="0" xfId="46" applyFont="1" applyAlignment="1">
      <alignment horizontal="center" vertical="center"/>
    </xf>
    <xf numFmtId="0" fontId="92" fillId="0" borderId="26" xfId="46" applyFont="1" applyFill="1" applyBorder="1" applyAlignment="1">
      <alignment horizontal="center" vertical="center" wrapText="1"/>
    </xf>
    <xf numFmtId="0" fontId="92" fillId="0" borderId="73" xfId="46" applyFont="1" applyFill="1" applyBorder="1" applyAlignment="1">
      <alignment horizontal="center" vertical="center"/>
    </xf>
    <xf numFmtId="0" fontId="92" fillId="0" borderId="57" xfId="46" applyFont="1" applyBorder="1" applyAlignment="1">
      <alignment horizontal="center" vertical="center" wrapText="1"/>
    </xf>
    <xf numFmtId="0" fontId="92" fillId="0" borderId="46" xfId="46" applyFont="1" applyBorder="1" applyAlignment="1">
      <alignment horizontal="center" vertical="center" wrapText="1"/>
    </xf>
    <xf numFmtId="0" fontId="92" fillId="0" borderId="43" xfId="46" applyFont="1" applyBorder="1" applyAlignment="1">
      <alignment horizontal="center" vertical="center" wrapText="1"/>
    </xf>
    <xf numFmtId="0" fontId="92" fillId="34" borderId="50" xfId="46" applyFont="1" applyFill="1" applyBorder="1" applyAlignment="1">
      <alignment horizontal="center" vertical="center" wrapText="1"/>
    </xf>
    <xf numFmtId="0" fontId="92" fillId="0" borderId="39" xfId="46" applyFont="1" applyBorder="1" applyAlignment="1">
      <alignment horizontal="center" vertical="center" wrapText="1"/>
    </xf>
    <xf numFmtId="0" fontId="93" fillId="0" borderId="0" xfId="46" applyFont="1" applyBorder="1" applyAlignment="1">
      <alignment horizontal="center" vertical="center" wrapText="1"/>
    </xf>
    <xf numFmtId="0" fontId="93" fillId="0" borderId="0" xfId="46" applyFont="1" applyAlignment="1">
      <alignment vertical="center"/>
    </xf>
    <xf numFmtId="0" fontId="57" fillId="0" borderId="26" xfId="46" applyFont="1" applyFill="1" applyBorder="1" applyAlignment="1">
      <alignment horizontal="center" vertical="center" wrapText="1"/>
    </xf>
    <xf numFmtId="0" fontId="57" fillId="0" borderId="24" xfId="46" applyFont="1" applyFill="1" applyBorder="1" applyAlignment="1">
      <alignment horizontal="center" vertical="center"/>
    </xf>
    <xf numFmtId="0" fontId="57" fillId="0" borderId="57" xfId="46" applyFont="1" applyFill="1" applyBorder="1" applyAlignment="1">
      <alignment horizontal="center" vertical="center" wrapText="1"/>
    </xf>
    <xf numFmtId="0" fontId="57" fillId="0" borderId="46" xfId="46" applyFont="1" applyFill="1" applyBorder="1" applyAlignment="1">
      <alignment horizontal="center" vertical="center" wrapText="1"/>
    </xf>
    <xf numFmtId="0" fontId="92" fillId="0" borderId="43" xfId="46" applyFont="1" applyFill="1" applyBorder="1" applyAlignment="1">
      <alignment horizontal="center" vertical="center" wrapText="1"/>
    </xf>
    <xf numFmtId="0" fontId="57" fillId="0" borderId="39" xfId="46" applyFont="1" applyFill="1" applyBorder="1" applyAlignment="1">
      <alignment horizontal="center" vertical="center" wrapText="1"/>
    </xf>
    <xf numFmtId="0" fontId="57" fillId="0" borderId="54" xfId="46" applyFont="1" applyFill="1" applyBorder="1" applyAlignment="1">
      <alignment horizontal="center" vertical="center" wrapText="1"/>
    </xf>
    <xf numFmtId="0" fontId="57" fillId="0" borderId="43" xfId="46" applyFont="1" applyFill="1" applyBorder="1" applyAlignment="1">
      <alignment horizontal="center" vertical="center" wrapText="1"/>
    </xf>
    <xf numFmtId="0" fontId="92" fillId="34" borderId="43" xfId="46" applyFont="1" applyFill="1" applyBorder="1" applyAlignment="1">
      <alignment horizontal="center" vertical="center" wrapText="1"/>
    </xf>
    <xf numFmtId="0" fontId="102" fillId="0" borderId="61" xfId="46" applyFont="1" applyBorder="1"/>
    <xf numFmtId="0" fontId="102" fillId="0" borderId="72" xfId="46" applyFont="1" applyBorder="1"/>
    <xf numFmtId="0" fontId="102" fillId="0" borderId="71" xfId="46" applyFont="1" applyBorder="1"/>
    <xf numFmtId="0" fontId="109" fillId="0" borderId="27" xfId="46" applyFont="1" applyFill="1" applyBorder="1" applyAlignment="1">
      <alignment horizontal="left" vertical="center"/>
    </xf>
    <xf numFmtId="0" fontId="109" fillId="0" borderId="10" xfId="46" applyFont="1" applyFill="1" applyBorder="1" applyAlignment="1">
      <alignment horizontal="left" vertical="center" wrapText="1"/>
    </xf>
    <xf numFmtId="0" fontId="108" fillId="0" borderId="27" xfId="46" applyFont="1" applyFill="1" applyBorder="1" applyAlignment="1">
      <alignment horizontal="center" vertical="center" wrapText="1"/>
    </xf>
    <xf numFmtId="0" fontId="149" fillId="0" borderId="27" xfId="0" applyFont="1" applyFill="1" applyBorder="1" applyAlignment="1">
      <alignment horizontal="left" vertical="center"/>
    </xf>
    <xf numFmtId="0" fontId="108" fillId="0" borderId="27" xfId="0" applyFont="1" applyFill="1" applyBorder="1" applyAlignment="1">
      <alignment horizontal="left" vertical="center"/>
    </xf>
    <xf numFmtId="0" fontId="109" fillId="0" borderId="27" xfId="0" applyFont="1" applyFill="1" applyBorder="1" applyAlignment="1">
      <alignment horizontal="left" vertical="center"/>
    </xf>
    <xf numFmtId="0" fontId="109" fillId="26" borderId="27" xfId="46" applyFont="1" applyFill="1" applyBorder="1" applyAlignment="1">
      <alignment horizontal="left" vertical="center"/>
    </xf>
    <xf numFmtId="0" fontId="109" fillId="26" borderId="10" xfId="46" applyFont="1" applyFill="1" applyBorder="1" applyAlignment="1">
      <alignment horizontal="left" vertical="center" wrapText="1"/>
    </xf>
    <xf numFmtId="0" fontId="109" fillId="24" borderId="27" xfId="0" applyFont="1" applyFill="1" applyBorder="1" applyAlignment="1">
      <alignment horizontal="left" vertical="center"/>
    </xf>
    <xf numFmtId="0" fontId="109" fillId="28" borderId="27" xfId="0" applyFont="1" applyFill="1" applyBorder="1" applyAlignment="1">
      <alignment horizontal="left" vertical="center"/>
    </xf>
    <xf numFmtId="0" fontId="109" fillId="28" borderId="10" xfId="0" applyFont="1" applyFill="1" applyBorder="1"/>
    <xf numFmtId="0" fontId="108" fillId="0" borderId="27" xfId="0" applyFont="1" applyFill="1" applyBorder="1" applyAlignment="1">
      <alignment horizontal="left" vertical="center" wrapText="1"/>
    </xf>
    <xf numFmtId="0" fontId="109" fillId="0" borderId="27" xfId="0" applyFont="1" applyFill="1" applyBorder="1" applyAlignment="1">
      <alignment horizontal="left" vertical="center" wrapText="1"/>
    </xf>
    <xf numFmtId="0" fontId="109" fillId="27" borderId="27" xfId="0" applyFont="1" applyFill="1" applyBorder="1"/>
    <xf numFmtId="0" fontId="109" fillId="27" borderId="10" xfId="0" applyFont="1" applyFill="1" applyBorder="1"/>
    <xf numFmtId="167" fontId="108" fillId="0" borderId="27" xfId="0" applyNumberFormat="1" applyFont="1" applyFill="1" applyBorder="1" applyAlignment="1">
      <alignment vertical="center"/>
    </xf>
    <xf numFmtId="167" fontId="109" fillId="0" borderId="27" xfId="0" applyNumberFormat="1" applyFont="1" applyFill="1" applyBorder="1" applyAlignment="1">
      <alignment vertical="center"/>
    </xf>
    <xf numFmtId="0" fontId="109" fillId="0" borderId="10" xfId="0" applyFont="1" applyFill="1" applyBorder="1" applyAlignment="1">
      <alignment vertical="center" wrapText="1"/>
    </xf>
    <xf numFmtId="0" fontId="109" fillId="0" borderId="10" xfId="0" applyFont="1" applyFill="1" applyBorder="1" applyAlignment="1">
      <alignment horizontal="left" vertical="center"/>
    </xf>
    <xf numFmtId="0" fontId="109" fillId="27" borderId="34" xfId="0" applyFont="1" applyFill="1" applyBorder="1"/>
    <xf numFmtId="0" fontId="109" fillId="27" borderId="35" xfId="0" applyFont="1" applyFill="1" applyBorder="1"/>
    <xf numFmtId="0" fontId="116" fillId="0" borderId="27" xfId="46" applyFont="1" applyBorder="1" applyAlignment="1">
      <alignment horizontal="center" vertical="center"/>
    </xf>
    <xf numFmtId="0" fontId="116" fillId="0" borderId="16" xfId="46" applyFont="1" applyBorder="1" applyAlignment="1">
      <alignment horizontal="center" vertical="center" wrapText="1"/>
    </xf>
    <xf numFmtId="0" fontId="116" fillId="0" borderId="27" xfId="46" applyFont="1" applyBorder="1" applyAlignment="1">
      <alignment horizontal="center" vertical="center" wrapText="1"/>
    </xf>
    <xf numFmtId="0" fontId="116" fillId="34" borderId="10" xfId="46" applyFont="1" applyFill="1" applyBorder="1" applyAlignment="1">
      <alignment horizontal="center" vertical="center" wrapText="1"/>
    </xf>
    <xf numFmtId="0" fontId="116" fillId="34" borderId="28" xfId="46" applyFont="1" applyFill="1" applyBorder="1" applyAlignment="1">
      <alignment horizontal="center" vertical="center" wrapText="1"/>
    </xf>
    <xf numFmtId="0" fontId="116" fillId="0" borderId="38" xfId="46" applyFont="1" applyBorder="1" applyAlignment="1">
      <alignment horizontal="center" vertical="center" wrapText="1"/>
    </xf>
    <xf numFmtId="0" fontId="116" fillId="0" borderId="10" xfId="46" applyFont="1" applyBorder="1" applyAlignment="1">
      <alignment horizontal="center" vertical="center" wrapText="1"/>
    </xf>
    <xf numFmtId="0" fontId="116" fillId="0" borderId="53" xfId="46" applyFont="1" applyBorder="1" applyAlignment="1">
      <alignment horizontal="center" vertical="center" wrapText="1"/>
    </xf>
    <xf numFmtId="3" fontId="168" fillId="0" borderId="27" xfId="46" applyNumberFormat="1" applyFont="1" applyBorder="1" applyAlignment="1">
      <alignment vertical="center"/>
    </xf>
    <xf numFmtId="3" fontId="168" fillId="0" borderId="10" xfId="46" applyNumberFormat="1" applyFont="1" applyBorder="1" applyAlignment="1">
      <alignment vertical="center"/>
    </xf>
    <xf numFmtId="4" fontId="168" fillId="0" borderId="28" xfId="46" applyNumberFormat="1" applyFont="1" applyBorder="1" applyAlignment="1">
      <alignment vertical="center"/>
    </xf>
    <xf numFmtId="3" fontId="168" fillId="0" borderId="38" xfId="46" applyNumberFormat="1" applyFont="1" applyBorder="1" applyAlignment="1">
      <alignment vertical="center"/>
    </xf>
    <xf numFmtId="3" fontId="167" fillId="0" borderId="27" xfId="46" applyNumberFormat="1" applyFont="1" applyBorder="1" applyAlignment="1">
      <alignment vertical="center"/>
    </xf>
    <xf numFmtId="3" fontId="167" fillId="0" borderId="10" xfId="46" applyNumberFormat="1" applyFont="1" applyBorder="1" applyAlignment="1">
      <alignment vertical="center"/>
    </xf>
    <xf numFmtId="3" fontId="167" fillId="0" borderId="38" xfId="46" applyNumberFormat="1" applyFont="1" applyBorder="1" applyAlignment="1">
      <alignment vertical="center"/>
    </xf>
    <xf numFmtId="3" fontId="167" fillId="24" borderId="34" xfId="46" applyNumberFormat="1" applyFont="1" applyFill="1" applyBorder="1" applyAlignment="1">
      <alignment vertical="center"/>
    </xf>
    <xf numFmtId="3" fontId="167" fillId="24" borderId="35" xfId="46" applyNumberFormat="1" applyFont="1" applyFill="1" applyBorder="1" applyAlignment="1">
      <alignment vertical="center"/>
    </xf>
    <xf numFmtId="4" fontId="167" fillId="24" borderId="35" xfId="46" applyNumberFormat="1" applyFont="1" applyFill="1" applyBorder="1" applyAlignment="1">
      <alignment vertical="center"/>
    </xf>
    <xf numFmtId="3" fontId="167" fillId="24" borderId="64" xfId="46" applyNumberFormat="1" applyFont="1" applyFill="1" applyBorder="1" applyAlignment="1">
      <alignment vertical="center"/>
    </xf>
    <xf numFmtId="3" fontId="168" fillId="0" borderId="27" xfId="46" applyNumberFormat="1" applyFont="1" applyFill="1" applyBorder="1" applyAlignment="1">
      <alignment vertical="center"/>
    </xf>
    <xf numFmtId="3" fontId="168" fillId="0" borderId="10" xfId="46" applyNumberFormat="1" applyFont="1" applyFill="1" applyBorder="1" applyAlignment="1">
      <alignment vertical="center"/>
    </xf>
    <xf numFmtId="3" fontId="168" fillId="0" borderId="53" xfId="46" applyNumberFormat="1" applyFont="1" applyFill="1" applyBorder="1" applyAlignment="1">
      <alignment vertical="center"/>
    </xf>
    <xf numFmtId="3" fontId="167" fillId="0" borderId="27" xfId="46" applyNumberFormat="1" applyFont="1" applyFill="1" applyBorder="1" applyAlignment="1">
      <alignment vertical="center"/>
    </xf>
    <xf numFmtId="3" fontId="167" fillId="0" borderId="10" xfId="46" applyNumberFormat="1" applyFont="1" applyFill="1" applyBorder="1" applyAlignment="1">
      <alignment vertical="center"/>
    </xf>
    <xf numFmtId="3" fontId="167" fillId="0" borderId="53" xfId="46" applyNumberFormat="1" applyFont="1" applyFill="1" applyBorder="1" applyAlignment="1">
      <alignment vertical="center"/>
    </xf>
    <xf numFmtId="3" fontId="167" fillId="24" borderId="62" xfId="46" applyNumberFormat="1" applyFont="1" applyFill="1" applyBorder="1" applyAlignment="1">
      <alignment vertical="center"/>
    </xf>
    <xf numFmtId="0" fontId="163" fillId="0" borderId="27" xfId="46" applyFont="1" applyBorder="1" applyAlignment="1">
      <alignment vertical="center"/>
    </xf>
    <xf numFmtId="0" fontId="156" fillId="0" borderId="27" xfId="46" applyFont="1" applyBorder="1" applyAlignment="1">
      <alignment vertical="center"/>
    </xf>
    <xf numFmtId="0" fontId="163" fillId="0" borderId="27" xfId="46" applyFont="1" applyBorder="1" applyAlignment="1">
      <alignment vertical="center" wrapText="1"/>
    </xf>
    <xf numFmtId="165" fontId="156" fillId="24" borderId="34" xfId="64" applyNumberFormat="1" applyFont="1" applyFill="1" applyBorder="1" applyAlignment="1">
      <alignment vertical="center" wrapText="1"/>
    </xf>
    <xf numFmtId="0" fontId="163" fillId="0" borderId="27" xfId="46" applyFont="1" applyFill="1" applyBorder="1" applyAlignment="1">
      <alignment vertical="center"/>
    </xf>
    <xf numFmtId="0" fontId="156" fillId="24" borderId="34" xfId="46" applyFont="1" applyFill="1" applyBorder="1" applyAlignment="1">
      <alignment vertical="center"/>
    </xf>
    <xf numFmtId="0" fontId="139" fillId="0" borderId="0" xfId="0" applyFont="1" applyAlignment="1">
      <alignment horizontal="center"/>
    </xf>
    <xf numFmtId="0" fontId="169" fillId="0" borderId="0" xfId="0" applyFont="1" applyAlignment="1"/>
    <xf numFmtId="0" fontId="168" fillId="0" borderId="0" xfId="46" applyFont="1"/>
    <xf numFmtId="0" fontId="138" fillId="0" borderId="0" xfId="62" applyFont="1" applyFill="1" applyBorder="1" applyAlignment="1">
      <alignment horizontal="right"/>
    </xf>
    <xf numFmtId="0" fontId="168" fillId="0" borderId="0" xfId="0" applyFont="1"/>
    <xf numFmtId="0" fontId="138" fillId="0" borderId="0" xfId="65" applyFont="1" applyAlignment="1">
      <alignment horizontal="right"/>
    </xf>
    <xf numFmtId="4" fontId="167" fillId="0" borderId="28" xfId="46" applyNumberFormat="1" applyFont="1" applyBorder="1" applyAlignment="1">
      <alignment vertical="center"/>
    </xf>
    <xf numFmtId="4" fontId="108" fillId="0" borderId="28" xfId="46" applyNumberFormat="1" applyFont="1" applyBorder="1"/>
    <xf numFmtId="4" fontId="109" fillId="24" borderId="28" xfId="0" applyNumberFormat="1" applyFont="1" applyFill="1" applyBorder="1"/>
    <xf numFmtId="4" fontId="109" fillId="28" borderId="28" xfId="0" applyNumberFormat="1" applyFont="1" applyFill="1" applyBorder="1"/>
    <xf numFmtId="4" fontId="109" fillId="0" borderId="28" xfId="46" applyNumberFormat="1" applyFont="1" applyBorder="1"/>
    <xf numFmtId="4" fontId="109" fillId="0" borderId="28" xfId="0" applyNumberFormat="1" applyFont="1" applyFill="1" applyBorder="1" applyAlignment="1">
      <alignment horizontal="right"/>
    </xf>
    <xf numFmtId="4" fontId="108" fillId="0" borderId="28" xfId="0" applyNumberFormat="1" applyFont="1" applyFill="1" applyBorder="1" applyAlignment="1">
      <alignment horizontal="right"/>
    </xf>
    <xf numFmtId="0" fontId="106" fillId="0" borderId="0" xfId="0" applyFont="1" applyAlignment="1">
      <alignment horizontal="center" vertical="center"/>
    </xf>
    <xf numFmtId="0" fontId="178" fillId="0" borderId="0" xfId="0" applyFont="1" applyAlignment="1">
      <alignment horizontal="center" vertical="center"/>
    </xf>
    <xf numFmtId="0" fontId="103" fillId="0" borderId="0" xfId="0" applyFont="1" applyAlignment="1">
      <alignment horizontal="right" vertical="center"/>
    </xf>
    <xf numFmtId="0" fontId="103" fillId="0" borderId="0" xfId="0" applyFont="1" applyAlignment="1">
      <alignment horizontal="right"/>
    </xf>
    <xf numFmtId="0" fontId="116" fillId="0" borderId="0" xfId="46" applyFont="1" applyAlignment="1">
      <alignment horizontal="center"/>
    </xf>
    <xf numFmtId="0" fontId="183" fillId="0" borderId="0" xfId="46" applyFont="1" applyAlignment="1">
      <alignment horizontal="center"/>
    </xf>
    <xf numFmtId="0" fontId="150" fillId="0" borderId="0" xfId="0" applyFont="1" applyAlignment="1"/>
    <xf numFmtId="0" fontId="184" fillId="0" borderId="0" xfId="0" applyFont="1" applyAlignment="1"/>
    <xf numFmtId="0" fontId="185" fillId="0" borderId="0" xfId="46" applyFont="1"/>
    <xf numFmtId="3" fontId="106" fillId="0" borderId="10" xfId="0" applyNumberFormat="1" applyFont="1" applyFill="1" applyBorder="1" applyAlignment="1">
      <alignment horizontal="right"/>
    </xf>
    <xf numFmtId="0" fontId="106" fillId="0" borderId="27" xfId="0" applyFont="1" applyFill="1" applyBorder="1" applyAlignment="1">
      <alignment horizontal="left" vertical="center"/>
    </xf>
    <xf numFmtId="0" fontId="105" fillId="0" borderId="27" xfId="80" applyFont="1" applyFill="1" applyBorder="1" applyAlignment="1">
      <alignment horizontal="left" vertical="center"/>
    </xf>
    <xf numFmtId="0" fontId="106" fillId="26" borderId="27" xfId="0" applyFont="1" applyFill="1" applyBorder="1" applyAlignment="1">
      <alignment horizontal="left" vertical="center"/>
    </xf>
    <xf numFmtId="0" fontId="105" fillId="28" borderId="27" xfId="0" applyFont="1" applyFill="1" applyBorder="1" applyAlignment="1">
      <alignment horizontal="left" vertical="center"/>
    </xf>
    <xf numFmtId="0" fontId="106" fillId="24" borderId="27" xfId="0" applyFont="1" applyFill="1" applyBorder="1" applyAlignment="1">
      <alignment horizontal="left" vertical="center" wrapText="1"/>
    </xf>
    <xf numFmtId="167" fontId="105" fillId="0" borderId="27" xfId="0" applyNumberFormat="1" applyFont="1" applyFill="1" applyBorder="1" applyAlignment="1">
      <alignment vertical="center"/>
    </xf>
    <xf numFmtId="167" fontId="105" fillId="26" borderId="27" xfId="0" applyNumberFormat="1" applyFont="1" applyFill="1" applyBorder="1" applyAlignment="1">
      <alignment vertical="center"/>
    </xf>
    <xf numFmtId="0" fontId="102" fillId="0" borderId="16" xfId="0" applyFont="1" applyFill="1" applyBorder="1" applyAlignment="1">
      <alignment horizontal="left" vertical="center" wrapText="1"/>
    </xf>
    <xf numFmtId="0" fontId="116" fillId="0" borderId="16" xfId="0" applyFont="1" applyFill="1" applyBorder="1" applyAlignment="1">
      <alignment horizontal="left" vertical="center" wrapText="1"/>
    </xf>
    <xf numFmtId="0" fontId="102" fillId="0" borderId="16" xfId="80" applyFont="1" applyFill="1" applyBorder="1" applyAlignment="1">
      <alignment horizontal="left" vertical="center" wrapText="1"/>
    </xf>
    <xf numFmtId="0" fontId="103" fillId="0" borderId="16" xfId="0" applyFont="1" applyFill="1" applyBorder="1" applyAlignment="1">
      <alignment horizontal="left" vertical="center" wrapText="1"/>
    </xf>
    <xf numFmtId="0" fontId="104" fillId="0" borderId="16" xfId="0" applyFont="1" applyFill="1" applyBorder="1" applyAlignment="1">
      <alignment horizontal="left" vertical="center" wrapText="1"/>
    </xf>
    <xf numFmtId="0" fontId="116" fillId="26" borderId="16" xfId="0" applyFont="1" applyFill="1" applyBorder="1" applyAlignment="1">
      <alignment horizontal="left" vertical="center" wrapText="1"/>
    </xf>
    <xf numFmtId="0" fontId="104" fillId="24" borderId="16" xfId="0" applyFont="1" applyFill="1" applyBorder="1" applyAlignment="1">
      <alignment horizontal="left" vertical="center" wrapText="1"/>
    </xf>
    <xf numFmtId="0" fontId="102" fillId="28" borderId="16" xfId="0" applyFont="1" applyFill="1" applyBorder="1"/>
    <xf numFmtId="0" fontId="104" fillId="24" borderId="16" xfId="0" applyFont="1" applyFill="1" applyBorder="1" applyAlignment="1">
      <alignment horizontal="left" vertical="center"/>
    </xf>
    <xf numFmtId="0" fontId="116" fillId="27" borderId="44" xfId="0" applyFont="1" applyFill="1" applyBorder="1"/>
    <xf numFmtId="0" fontId="102" fillId="0" borderId="16" xfId="0" applyFont="1" applyFill="1" applyBorder="1" applyAlignment="1">
      <alignment vertical="center" wrapText="1"/>
    </xf>
    <xf numFmtId="0" fontId="103" fillId="0" borderId="16" xfId="0" applyFont="1" applyFill="1" applyBorder="1" applyAlignment="1">
      <alignment vertical="center" wrapText="1"/>
    </xf>
    <xf numFmtId="0" fontId="103" fillId="0" borderId="16" xfId="0" applyFont="1" applyFill="1" applyBorder="1" applyAlignment="1">
      <alignment vertical="center"/>
    </xf>
    <xf numFmtId="0" fontId="102" fillId="0" borderId="16" xfId="0" applyFont="1" applyFill="1" applyBorder="1" applyAlignment="1">
      <alignment horizontal="left" vertical="center"/>
    </xf>
    <xf numFmtId="0" fontId="103" fillId="26" borderId="16" xfId="0" applyFont="1" applyFill="1" applyBorder="1" applyAlignment="1">
      <alignment horizontal="left" vertical="center" wrapText="1"/>
    </xf>
    <xf numFmtId="3" fontId="163" fillId="0" borderId="27" xfId="0" applyNumberFormat="1" applyFont="1" applyBorder="1"/>
    <xf numFmtId="3" fontId="163" fillId="0" borderId="10" xfId="0" applyNumberFormat="1" applyFont="1" applyBorder="1"/>
    <xf numFmtId="3" fontId="163" fillId="0" borderId="28" xfId="0" applyNumberFormat="1" applyFont="1" applyBorder="1"/>
    <xf numFmtId="3" fontId="163" fillId="0" borderId="38" xfId="0" applyNumberFormat="1" applyFont="1" applyBorder="1"/>
    <xf numFmtId="3" fontId="163" fillId="0" borderId="16" xfId="0" applyNumberFormat="1" applyFont="1" applyBorder="1"/>
    <xf numFmtId="3" fontId="156" fillId="0" borderId="27" xfId="0" applyNumberFormat="1" applyFont="1" applyBorder="1"/>
    <xf numFmtId="3" fontId="156" fillId="0" borderId="10" xfId="0" applyNumberFormat="1" applyFont="1" applyBorder="1"/>
    <xf numFmtId="3" fontId="156" fillId="0" borderId="28" xfId="0" applyNumberFormat="1" applyFont="1" applyBorder="1"/>
    <xf numFmtId="3" fontId="156" fillId="0" borderId="38" xfId="0" applyNumberFormat="1" applyFont="1" applyBorder="1"/>
    <xf numFmtId="3" fontId="156" fillId="0" borderId="16" xfId="0" applyNumberFormat="1" applyFont="1" applyBorder="1"/>
    <xf numFmtId="4" fontId="163" fillId="0" borderId="28" xfId="0" applyNumberFormat="1" applyFont="1" applyBorder="1"/>
    <xf numFmtId="4" fontId="156" fillId="0" borderId="28" xfId="0" applyNumberFormat="1" applyFont="1" applyBorder="1"/>
    <xf numFmtId="4" fontId="163" fillId="0" borderId="16" xfId="0" applyNumberFormat="1" applyFont="1" applyBorder="1"/>
    <xf numFmtId="3" fontId="163" fillId="0" borderId="10" xfId="0" applyNumberFormat="1" applyFont="1" applyFill="1" applyBorder="1"/>
    <xf numFmtId="3" fontId="163" fillId="0" borderId="28" xfId="0" applyNumberFormat="1" applyFont="1" applyFill="1" applyBorder="1"/>
    <xf numFmtId="3" fontId="136" fillId="0" borderId="10" xfId="0" applyNumberFormat="1" applyFont="1" applyFill="1" applyBorder="1"/>
    <xf numFmtId="4" fontId="156" fillId="0" borderId="16" xfId="0" applyNumberFormat="1" applyFont="1" applyBorder="1"/>
    <xf numFmtId="3" fontId="156" fillId="26" borderId="27" xfId="0" applyNumberFormat="1" applyFont="1" applyFill="1" applyBorder="1"/>
    <xf numFmtId="3" fontId="156" fillId="26" borderId="10" xfId="0" applyNumberFormat="1" applyFont="1" applyFill="1" applyBorder="1"/>
    <xf numFmtId="4" fontId="156" fillId="26" borderId="28" xfId="0" applyNumberFormat="1" applyFont="1" applyFill="1" applyBorder="1"/>
    <xf numFmtId="3" fontId="156" fillId="26" borderId="38" xfId="0" applyNumberFormat="1" applyFont="1" applyFill="1" applyBorder="1"/>
    <xf numFmtId="4" fontId="156" fillId="26" borderId="16" xfId="0" applyNumberFormat="1" applyFont="1" applyFill="1" applyBorder="1"/>
    <xf numFmtId="3" fontId="156" fillId="24" borderId="27" xfId="0" applyNumberFormat="1" applyFont="1" applyFill="1" applyBorder="1"/>
    <xf numFmtId="3" fontId="156" fillId="24" borderId="10" xfId="0" applyNumberFormat="1" applyFont="1" applyFill="1" applyBorder="1"/>
    <xf numFmtId="4" fontId="156" fillId="24" borderId="28" xfId="0" applyNumberFormat="1" applyFont="1" applyFill="1" applyBorder="1"/>
    <xf numFmtId="3" fontId="156" fillId="24" borderId="38" xfId="0" applyNumberFormat="1" applyFont="1" applyFill="1" applyBorder="1"/>
    <xf numFmtId="4" fontId="156" fillId="24" borderId="16" xfId="0" applyNumberFormat="1" applyFont="1" applyFill="1" applyBorder="1"/>
    <xf numFmtId="3" fontId="163" fillId="28" borderId="27" xfId="0" applyNumberFormat="1" applyFont="1" applyFill="1" applyBorder="1"/>
    <xf numFmtId="3" fontId="163" fillId="28" borderId="10" xfId="0" applyNumberFormat="1" applyFont="1" applyFill="1" applyBorder="1"/>
    <xf numFmtId="3" fontId="163" fillId="28" borderId="28" xfId="0" applyNumberFormat="1" applyFont="1" applyFill="1" applyBorder="1"/>
    <xf numFmtId="3" fontId="163" fillId="28" borderId="38" xfId="0" applyNumberFormat="1" applyFont="1" applyFill="1" applyBorder="1"/>
    <xf numFmtId="4" fontId="163" fillId="28" borderId="16" xfId="0" applyNumberFormat="1" applyFont="1" applyFill="1" applyBorder="1"/>
    <xf numFmtId="4" fontId="163" fillId="28" borderId="28" xfId="0" applyNumberFormat="1" applyFont="1" applyFill="1" applyBorder="1"/>
    <xf numFmtId="3" fontId="156" fillId="24" borderId="28" xfId="0" applyNumberFormat="1" applyFont="1" applyFill="1" applyBorder="1"/>
    <xf numFmtId="3" fontId="156" fillId="27" borderId="34" xfId="0" applyNumberFormat="1" applyFont="1" applyFill="1" applyBorder="1"/>
    <xf numFmtId="3" fontId="156" fillId="27" borderId="35" xfId="0" applyNumberFormat="1" applyFont="1" applyFill="1" applyBorder="1"/>
    <xf numFmtId="4" fontId="156" fillId="27" borderId="36" xfId="0" applyNumberFormat="1" applyFont="1" applyFill="1" applyBorder="1"/>
    <xf numFmtId="3" fontId="156" fillId="27" borderId="64" xfId="0" applyNumberFormat="1" applyFont="1" applyFill="1" applyBorder="1"/>
    <xf numFmtId="4" fontId="156" fillId="27" borderId="44" xfId="0" applyNumberFormat="1" applyFont="1" applyFill="1" applyBorder="1"/>
    <xf numFmtId="3" fontId="163" fillId="26" borderId="27" xfId="0" applyNumberFormat="1" applyFont="1" applyFill="1" applyBorder="1"/>
    <xf numFmtId="3" fontId="163" fillId="26" borderId="10" xfId="0" applyNumberFormat="1" applyFont="1" applyFill="1" applyBorder="1"/>
    <xf numFmtId="4" fontId="163" fillId="26" borderId="28" xfId="0" applyNumberFormat="1" applyFont="1" applyFill="1" applyBorder="1"/>
    <xf numFmtId="3" fontId="163" fillId="26" borderId="38" xfId="0" applyNumberFormat="1" applyFont="1" applyFill="1" applyBorder="1"/>
    <xf numFmtId="4" fontId="163" fillId="26" borderId="16" xfId="0" applyNumberFormat="1" applyFont="1" applyFill="1" applyBorder="1"/>
    <xf numFmtId="3" fontId="136" fillId="0" borderId="27" xfId="0" applyNumberFormat="1" applyFont="1" applyFill="1" applyBorder="1" applyAlignment="1">
      <alignment horizontal="right" vertical="center" wrapText="1"/>
    </xf>
    <xf numFmtId="3" fontId="136" fillId="0" borderId="10" xfId="0" applyNumberFormat="1" applyFont="1" applyFill="1" applyBorder="1" applyAlignment="1">
      <alignment horizontal="left" vertical="center" wrapText="1"/>
    </xf>
    <xf numFmtId="3" fontId="136" fillId="0" borderId="28" xfId="0" applyNumberFormat="1" applyFont="1" applyFill="1" applyBorder="1" applyAlignment="1">
      <alignment horizontal="left" vertical="center" wrapText="1"/>
    </xf>
    <xf numFmtId="3" fontId="136" fillId="0" borderId="38" xfId="0" applyNumberFormat="1" applyFont="1" applyFill="1" applyBorder="1" applyAlignment="1">
      <alignment horizontal="left" vertical="center" wrapText="1"/>
    </xf>
    <xf numFmtId="3" fontId="136" fillId="0" borderId="16" xfId="0" applyNumberFormat="1" applyFont="1" applyFill="1" applyBorder="1" applyAlignment="1">
      <alignment horizontal="left" vertical="center" wrapText="1"/>
    </xf>
    <xf numFmtId="3" fontId="136" fillId="0" borderId="27" xfId="0" applyNumberFormat="1" applyFont="1" applyFill="1" applyBorder="1" applyAlignment="1">
      <alignment horizontal="left" vertical="center" wrapText="1"/>
    </xf>
    <xf numFmtId="3" fontId="136" fillId="0" borderId="10" xfId="0" applyNumberFormat="1" applyFont="1" applyFill="1" applyBorder="1" applyAlignment="1">
      <alignment horizontal="right" vertical="center" wrapText="1"/>
    </xf>
    <xf numFmtId="3" fontId="136" fillId="0" borderId="27" xfId="0" applyNumberFormat="1" applyFont="1" applyFill="1" applyBorder="1" applyAlignment="1">
      <alignment horizontal="right" vertical="center"/>
    </xf>
    <xf numFmtId="3" fontId="136" fillId="0" borderId="10" xfId="0" applyNumberFormat="1" applyFont="1" applyFill="1" applyBorder="1" applyAlignment="1">
      <alignment horizontal="left" vertical="center"/>
    </xf>
    <xf numFmtId="3" fontId="136" fillId="0" borderId="28" xfId="0" applyNumberFormat="1" applyFont="1" applyFill="1" applyBorder="1" applyAlignment="1">
      <alignment horizontal="left" vertical="center"/>
    </xf>
    <xf numFmtId="3" fontId="136" fillId="0" borderId="38" xfId="0" applyNumberFormat="1" applyFont="1" applyFill="1" applyBorder="1" applyAlignment="1">
      <alignment horizontal="left" vertical="center"/>
    </xf>
    <xf numFmtId="3" fontId="136" fillId="0" borderId="16" xfId="0" applyNumberFormat="1" applyFont="1" applyFill="1" applyBorder="1" applyAlignment="1">
      <alignment horizontal="left" vertical="center"/>
    </xf>
    <xf numFmtId="3" fontId="136" fillId="0" borderId="27" xfId="0" applyNumberFormat="1" applyFont="1" applyFill="1" applyBorder="1" applyAlignment="1">
      <alignment horizontal="left" vertical="center"/>
    </xf>
    <xf numFmtId="3" fontId="136" fillId="0" borderId="10" xfId="0" applyNumberFormat="1" applyFont="1" applyFill="1" applyBorder="1" applyAlignment="1">
      <alignment horizontal="right" vertical="center"/>
    </xf>
    <xf numFmtId="3" fontId="156" fillId="24" borderId="16" xfId="0" applyNumberFormat="1" applyFont="1" applyFill="1" applyBorder="1"/>
    <xf numFmtId="0" fontId="168" fillId="0" borderId="0" xfId="0" applyFont="1" applyAlignment="1">
      <alignment horizontal="right" vertical="center"/>
    </xf>
    <xf numFmtId="0" fontId="168" fillId="0" borderId="0" xfId="0" applyFont="1" applyAlignment="1">
      <alignment horizontal="right"/>
    </xf>
    <xf numFmtId="0" fontId="102" fillId="0" borderId="16" xfId="82" applyFont="1" applyFill="1" applyBorder="1" applyAlignment="1">
      <alignment horizontal="left" vertical="center" wrapText="1"/>
    </xf>
    <xf numFmtId="0" fontId="106" fillId="0" borderId="27" xfId="0" applyFont="1" applyBorder="1" applyAlignment="1">
      <alignment horizontal="center" vertical="center" wrapText="1"/>
    </xf>
    <xf numFmtId="0" fontId="106" fillId="0" borderId="10" xfId="0" applyFont="1" applyBorder="1" applyAlignment="1">
      <alignment horizontal="center" vertical="center" wrapText="1"/>
    </xf>
    <xf numFmtId="0" fontId="106" fillId="0" borderId="28" xfId="0" applyFont="1" applyBorder="1" applyAlignment="1">
      <alignment horizontal="center" vertical="center" wrapText="1"/>
    </xf>
    <xf numFmtId="0" fontId="106" fillId="0" borderId="38" xfId="0" applyFont="1" applyBorder="1" applyAlignment="1">
      <alignment horizontal="center" vertical="center" wrapText="1"/>
    </xf>
    <xf numFmtId="0" fontId="106" fillId="0" borderId="16" xfId="0" applyFont="1" applyBorder="1" applyAlignment="1">
      <alignment horizontal="center" vertical="center" wrapText="1"/>
    </xf>
    <xf numFmtId="0" fontId="176" fillId="0" borderId="16" xfId="0" applyFont="1" applyFill="1" applyBorder="1" applyAlignment="1">
      <alignment horizontal="left" vertical="center"/>
    </xf>
    <xf numFmtId="3" fontId="105" fillId="26" borderId="38" xfId="0" applyNumberFormat="1" applyFont="1" applyFill="1" applyBorder="1" applyAlignment="1">
      <alignment horizontal="right"/>
    </xf>
    <xf numFmtId="3" fontId="105" fillId="26" borderId="27" xfId="0" applyNumberFormat="1" applyFont="1" applyFill="1" applyBorder="1" applyAlignment="1">
      <alignment horizontal="right"/>
    </xf>
    <xf numFmtId="3" fontId="105" fillId="26" borderId="16" xfId="0" applyNumberFormat="1" applyFont="1" applyFill="1" applyBorder="1" applyAlignment="1">
      <alignment horizontal="right"/>
    </xf>
    <xf numFmtId="4" fontId="105" fillId="26" borderId="28" xfId="0" applyNumberFormat="1" applyFont="1" applyFill="1" applyBorder="1" applyAlignment="1">
      <alignment horizontal="right"/>
    </xf>
    <xf numFmtId="0" fontId="103" fillId="0" borderId="10" xfId="50" applyFont="1" applyFill="1" applyBorder="1" applyAlignment="1">
      <alignment vertical="center" wrapText="1"/>
    </xf>
    <xf numFmtId="0" fontId="103" fillId="0" borderId="10" xfId="50" applyFont="1" applyFill="1" applyBorder="1" applyAlignment="1">
      <alignment horizontal="left" vertical="center" wrapText="1"/>
    </xf>
    <xf numFmtId="0" fontId="104" fillId="29" borderId="10" xfId="50" applyFont="1" applyFill="1" applyBorder="1" applyAlignment="1">
      <alignment horizontal="left" vertical="center" wrapText="1"/>
    </xf>
    <xf numFmtId="0" fontId="147" fillId="0" borderId="10" xfId="50" applyFont="1" applyFill="1" applyBorder="1" applyAlignment="1">
      <alignment horizontal="left" vertical="center" wrapText="1"/>
    </xf>
    <xf numFmtId="0" fontId="104" fillId="26" borderId="10" xfId="50" applyFont="1" applyFill="1" applyBorder="1" applyAlignment="1">
      <alignment horizontal="left" vertical="center" wrapText="1"/>
    </xf>
    <xf numFmtId="0" fontId="148" fillId="24" borderId="35" xfId="0" applyFont="1" applyFill="1" applyBorder="1" applyAlignment="1">
      <alignment horizontal="left" vertical="center" wrapText="1"/>
    </xf>
    <xf numFmtId="0" fontId="108" fillId="0" borderId="27" xfId="50" applyFont="1" applyFill="1" applyBorder="1" applyAlignment="1">
      <alignment horizontal="left" vertical="center"/>
    </xf>
    <xf numFmtId="0" fontId="109" fillId="29" borderId="27" xfId="50" applyFont="1" applyFill="1" applyBorder="1" applyAlignment="1">
      <alignment horizontal="left" vertical="center"/>
    </xf>
    <xf numFmtId="0" fontId="109" fillId="0" borderId="27" xfId="50" applyFont="1" applyFill="1" applyBorder="1" applyAlignment="1">
      <alignment horizontal="left" vertical="center"/>
    </xf>
    <xf numFmtId="0" fontId="145" fillId="0" borderId="27" xfId="50" applyFont="1" applyFill="1" applyBorder="1" applyAlignment="1">
      <alignment horizontal="left" vertical="center"/>
    </xf>
    <xf numFmtId="0" fontId="109" fillId="26" borderId="27" xfId="50" applyFont="1" applyFill="1" applyBorder="1" applyAlignment="1">
      <alignment horizontal="left" vertical="center"/>
    </xf>
    <xf numFmtId="0" fontId="149" fillId="24" borderId="34" xfId="0" applyFont="1" applyFill="1" applyBorder="1" applyAlignment="1">
      <alignment horizontal="left" vertical="center" wrapText="1"/>
    </xf>
    <xf numFmtId="3" fontId="136" fillId="0" borderId="27" xfId="50" applyNumberFormat="1" applyFont="1" applyBorder="1"/>
    <xf numFmtId="3" fontId="136" fillId="0" borderId="10" xfId="50" applyNumberFormat="1" applyFont="1" applyBorder="1"/>
    <xf numFmtId="4" fontId="136" fillId="0" borderId="28" xfId="50" applyNumberFormat="1" applyFont="1" applyBorder="1"/>
    <xf numFmtId="3" fontId="136" fillId="0" borderId="38" xfId="50" applyNumberFormat="1" applyFont="1" applyBorder="1"/>
    <xf numFmtId="3" fontId="136" fillId="0" borderId="16" xfId="50" applyNumberFormat="1" applyFont="1" applyBorder="1"/>
    <xf numFmtId="3" fontId="136" fillId="0" borderId="28" xfId="50" applyNumberFormat="1" applyFont="1" applyBorder="1"/>
    <xf numFmtId="4" fontId="136" fillId="0" borderId="10" xfId="50" applyNumberFormat="1" applyFont="1" applyBorder="1"/>
    <xf numFmtId="3" fontId="136" fillId="0" borderId="53" xfId="50" applyNumberFormat="1" applyFont="1" applyBorder="1"/>
    <xf numFmtId="3" fontId="136" fillId="0" borderId="10" xfId="50" applyNumberFormat="1" applyFont="1" applyFill="1" applyBorder="1"/>
    <xf numFmtId="4" fontId="136" fillId="0" borderId="28" xfId="50" applyNumberFormat="1" applyFont="1" applyFill="1" applyBorder="1"/>
    <xf numFmtId="4" fontId="136" fillId="0" borderId="10" xfId="50" applyNumberFormat="1" applyFont="1" applyFill="1" applyBorder="1"/>
    <xf numFmtId="0" fontId="136" fillId="0" borderId="27" xfId="50" applyFont="1" applyBorder="1"/>
    <xf numFmtId="0" fontId="136" fillId="0" borderId="38" xfId="50" applyFont="1" applyBorder="1"/>
    <xf numFmtId="0" fontId="136" fillId="0" borderId="10" xfId="50" applyFont="1" applyBorder="1"/>
    <xf numFmtId="0" fontId="136" fillId="0" borderId="16" xfId="50" applyFont="1" applyBorder="1"/>
    <xf numFmtId="0" fontId="136" fillId="0" borderId="28" xfId="50" applyFont="1" applyBorder="1"/>
    <xf numFmtId="3" fontId="135" fillId="29" borderId="27" xfId="50" applyNumberFormat="1" applyFont="1" applyFill="1" applyBorder="1"/>
    <xf numFmtId="3" fontId="135" fillId="29" borderId="10" xfId="50" applyNumberFormat="1" applyFont="1" applyFill="1" applyBorder="1"/>
    <xf numFmtId="4" fontId="135" fillId="29" borderId="28" xfId="50" applyNumberFormat="1" applyFont="1" applyFill="1" applyBorder="1"/>
    <xf numFmtId="3" fontId="135" fillId="29" borderId="38" xfId="50" applyNumberFormat="1" applyFont="1" applyFill="1" applyBorder="1"/>
    <xf numFmtId="3" fontId="135" fillId="29" borderId="16" xfId="50" applyNumberFormat="1" applyFont="1" applyFill="1" applyBorder="1"/>
    <xf numFmtId="3" fontId="135" fillId="29" borderId="28" xfId="50" applyNumberFormat="1" applyFont="1" applyFill="1" applyBorder="1"/>
    <xf numFmtId="4" fontId="135" fillId="29" borderId="10" xfId="50" applyNumberFormat="1" applyFont="1" applyFill="1" applyBorder="1"/>
    <xf numFmtId="3" fontId="135" fillId="29" borderId="53" xfId="50" applyNumberFormat="1" applyFont="1" applyFill="1" applyBorder="1"/>
    <xf numFmtId="3" fontId="136" fillId="0" borderId="27" xfId="50" applyNumberFormat="1" applyFont="1" applyFill="1" applyBorder="1"/>
    <xf numFmtId="3" fontId="136" fillId="0" borderId="38" xfId="50" applyNumberFormat="1" applyFont="1" applyFill="1" applyBorder="1"/>
    <xf numFmtId="3" fontId="136" fillId="0" borderId="16" xfId="50" applyNumberFormat="1" applyFont="1" applyFill="1" applyBorder="1"/>
    <xf numFmtId="3" fontId="136" fillId="0" borderId="28" xfId="50" applyNumberFormat="1" applyFont="1" applyFill="1" applyBorder="1"/>
    <xf numFmtId="3" fontId="136" fillId="0" borderId="53" xfId="50" applyNumberFormat="1" applyFont="1" applyFill="1" applyBorder="1"/>
    <xf numFmtId="3" fontId="187" fillId="0" borderId="38" xfId="50" applyNumberFormat="1" applyFont="1" applyFill="1" applyBorder="1"/>
    <xf numFmtId="3" fontId="187" fillId="0" borderId="10" xfId="50" applyNumberFormat="1" applyFont="1" applyFill="1" applyBorder="1"/>
    <xf numFmtId="3" fontId="187" fillId="0" borderId="16" xfId="50" applyNumberFormat="1" applyFont="1" applyFill="1" applyBorder="1"/>
    <xf numFmtId="3" fontId="187" fillId="0" borderId="27" xfId="50" applyNumberFormat="1" applyFont="1" applyFill="1" applyBorder="1"/>
    <xf numFmtId="3" fontId="187" fillId="0" borderId="53" xfId="50" applyNumberFormat="1" applyFont="1" applyFill="1" applyBorder="1"/>
    <xf numFmtId="4" fontId="187" fillId="0" borderId="28" xfId="50" applyNumberFormat="1" applyFont="1" applyFill="1" applyBorder="1"/>
    <xf numFmtId="4" fontId="187" fillId="0" borderId="10" xfId="50" applyNumberFormat="1" applyFont="1" applyFill="1" applyBorder="1"/>
    <xf numFmtId="3" fontId="135" fillId="26" borderId="27" xfId="50" applyNumberFormat="1" applyFont="1" applyFill="1" applyBorder="1"/>
    <xf numFmtId="3" fontId="135" fillId="26" borderId="10" xfId="50" applyNumberFormat="1" applyFont="1" applyFill="1" applyBorder="1"/>
    <xf numFmtId="4" fontId="135" fillId="26" borderId="28" xfId="50" applyNumberFormat="1" applyFont="1" applyFill="1" applyBorder="1"/>
    <xf numFmtId="3" fontId="135" fillId="26" borderId="38" xfId="50" applyNumberFormat="1" applyFont="1" applyFill="1" applyBorder="1"/>
    <xf numFmtId="3" fontId="135" fillId="26" borderId="16" xfId="50" applyNumberFormat="1" applyFont="1" applyFill="1" applyBorder="1"/>
    <xf numFmtId="4" fontId="135" fillId="26" borderId="10" xfId="50" applyNumberFormat="1" applyFont="1" applyFill="1" applyBorder="1"/>
    <xf numFmtId="3" fontId="135" fillId="26" borderId="53" xfId="50" applyNumberFormat="1" applyFont="1" applyFill="1" applyBorder="1"/>
    <xf numFmtId="0" fontId="163" fillId="0" borderId="10" xfId="50" applyFont="1" applyBorder="1"/>
    <xf numFmtId="3" fontId="165" fillId="24" borderId="34" xfId="50" applyNumberFormat="1" applyFont="1" applyFill="1" applyBorder="1"/>
    <xf numFmtId="3" fontId="165" fillId="24" borderId="35" xfId="50" applyNumberFormat="1" applyFont="1" applyFill="1" applyBorder="1"/>
    <xf numFmtId="4" fontId="165" fillId="24" borderId="36" xfId="50" applyNumberFormat="1" applyFont="1" applyFill="1" applyBorder="1"/>
    <xf numFmtId="3" fontId="165" fillId="24" borderId="64" xfId="50" applyNumberFormat="1" applyFont="1" applyFill="1" applyBorder="1"/>
    <xf numFmtId="3" fontId="165" fillId="24" borderId="44" xfId="50" applyNumberFormat="1" applyFont="1" applyFill="1" applyBorder="1"/>
    <xf numFmtId="4" fontId="165" fillId="24" borderId="35" xfId="50" applyNumberFormat="1" applyFont="1" applyFill="1" applyBorder="1"/>
    <xf numFmtId="3" fontId="165" fillId="24" borderId="62" xfId="50" applyNumberFormat="1" applyFont="1" applyFill="1" applyBorder="1"/>
    <xf numFmtId="0" fontId="57" fillId="0" borderId="46" xfId="50" applyFont="1" applyFill="1" applyBorder="1" applyAlignment="1">
      <alignment horizontal="center" vertical="center" wrapText="1"/>
    </xf>
    <xf numFmtId="0" fontId="57" fillId="0" borderId="43" xfId="50" applyFont="1" applyFill="1" applyBorder="1" applyAlignment="1">
      <alignment horizontal="center" vertical="center"/>
    </xf>
    <xf numFmtId="0" fontId="57" fillId="0" borderId="57" xfId="50" applyFont="1" applyBorder="1" applyAlignment="1">
      <alignment horizontal="center" vertical="center" wrapText="1"/>
    </xf>
    <xf numFmtId="0" fontId="57" fillId="0" borderId="46" xfId="50" applyFont="1" applyBorder="1" applyAlignment="1">
      <alignment horizontal="center" vertical="center" wrapText="1"/>
    </xf>
    <xf numFmtId="0" fontId="57" fillId="0" borderId="43" xfId="50" applyFont="1" applyBorder="1" applyAlignment="1">
      <alignment horizontal="center" vertical="center" wrapText="1"/>
    </xf>
    <xf numFmtId="0" fontId="57" fillId="0" borderId="50" xfId="50" applyFont="1" applyBorder="1" applyAlignment="1">
      <alignment horizontal="center" vertical="center" wrapText="1"/>
    </xf>
    <xf numFmtId="0" fontId="57" fillId="0" borderId="54" xfId="50" applyFont="1" applyBorder="1" applyAlignment="1">
      <alignment horizontal="center" vertical="center" wrapText="1"/>
    </xf>
    <xf numFmtId="0" fontId="57" fillId="0" borderId="39" xfId="50" applyFont="1" applyBorder="1" applyAlignment="1">
      <alignment horizontal="center" vertical="center" wrapText="1"/>
    </xf>
    <xf numFmtId="0" fontId="92" fillId="0" borderId="0" xfId="50" applyFont="1" applyAlignment="1">
      <alignment vertical="center"/>
    </xf>
    <xf numFmtId="0" fontId="163" fillId="0" borderId="0" xfId="50" applyFont="1"/>
    <xf numFmtId="0" fontId="156" fillId="0" borderId="0" xfId="50" applyFont="1" applyAlignment="1">
      <alignment horizontal="center" wrapText="1"/>
    </xf>
    <xf numFmtId="0" fontId="188" fillId="0" borderId="0" xfId="0" applyFont="1" applyAlignment="1">
      <alignment wrapText="1"/>
    </xf>
    <xf numFmtId="0" fontId="163" fillId="0" borderId="0" xfId="50" applyFont="1" applyAlignment="1">
      <alignment horizontal="right"/>
    </xf>
    <xf numFmtId="0" fontId="189" fillId="0" borderId="0" xfId="50" applyFont="1"/>
    <xf numFmtId="0" fontId="162" fillId="0" borderId="0" xfId="0" applyFont="1" applyFill="1" applyAlignment="1">
      <alignment horizontal="center" vertical="center"/>
    </xf>
    <xf numFmtId="0" fontId="162" fillId="0" borderId="0" xfId="0" applyFont="1" applyFill="1" applyAlignment="1">
      <alignment horizontal="center"/>
    </xf>
    <xf numFmtId="0" fontId="192" fillId="0" borderId="0" xfId="46" applyFont="1" applyAlignment="1">
      <alignment horizontal="center" wrapText="1"/>
    </xf>
    <xf numFmtId="0" fontId="192" fillId="0" borderId="0" xfId="46" applyFont="1" applyAlignment="1">
      <alignment horizontal="right"/>
    </xf>
    <xf numFmtId="0" fontId="161" fillId="0" borderId="0" xfId="0" applyFont="1" applyFill="1" applyAlignment="1">
      <alignment horizontal="center" vertical="center"/>
    </xf>
    <xf numFmtId="0" fontId="161" fillId="0" borderId="0" xfId="0" applyFont="1" applyFill="1"/>
    <xf numFmtId="0" fontId="161" fillId="0" borderId="0" xfId="0" applyFont="1" applyFill="1" applyAlignment="1">
      <alignment horizontal="right"/>
    </xf>
    <xf numFmtId="0" fontId="139" fillId="0" borderId="18" xfId="68" applyFont="1" applyFill="1" applyBorder="1" applyAlignment="1">
      <alignment horizontal="center" vertical="center" wrapText="1"/>
    </xf>
    <xf numFmtId="168" fontId="139" fillId="0" borderId="51" xfId="68" applyNumberFormat="1" applyFont="1" applyFill="1" applyBorder="1" applyAlignment="1">
      <alignment horizontal="center" vertical="center"/>
    </xf>
    <xf numFmtId="0" fontId="167" fillId="0" borderId="51" xfId="46" applyFont="1" applyFill="1" applyBorder="1" applyAlignment="1">
      <alignment horizontal="center" vertical="center" wrapText="1"/>
    </xf>
    <xf numFmtId="0" fontId="167" fillId="0" borderId="18" xfId="46" applyFont="1" applyFill="1" applyBorder="1" applyAlignment="1">
      <alignment horizontal="center" vertical="center" wrapText="1"/>
    </xf>
    <xf numFmtId="0" fontId="167" fillId="0" borderId="19" xfId="46" applyFont="1" applyFill="1" applyBorder="1" applyAlignment="1">
      <alignment horizontal="center" vertical="center" wrapText="1"/>
    </xf>
    <xf numFmtId="0" fontId="167" fillId="0" borderId="17" xfId="46" applyFont="1" applyFill="1" applyBorder="1" applyAlignment="1">
      <alignment horizontal="center" vertical="center" wrapText="1"/>
    </xf>
    <xf numFmtId="0" fontId="152" fillId="0" borderId="27" xfId="68" applyFont="1" applyFill="1" applyBorder="1" applyAlignment="1">
      <alignment horizontal="center" vertical="center" wrapText="1"/>
    </xf>
    <xf numFmtId="0" fontId="153" fillId="29" borderId="27" xfId="0" applyFont="1" applyFill="1" applyBorder="1" applyAlignment="1">
      <alignment horizontal="center" vertical="center"/>
    </xf>
    <xf numFmtId="0" fontId="152" fillId="34" borderId="27" xfId="0" applyFont="1" applyFill="1" applyBorder="1" applyAlignment="1">
      <alignment horizontal="center" vertical="center"/>
    </xf>
    <xf numFmtId="0" fontId="152" fillId="0" borderId="27" xfId="0" applyFont="1" applyBorder="1" applyAlignment="1">
      <alignment horizontal="center" vertical="center"/>
    </xf>
    <xf numFmtId="3" fontId="153" fillId="24" borderId="18" xfId="0" applyNumberFormat="1" applyFont="1" applyFill="1" applyBorder="1" applyAlignment="1">
      <alignment horizontal="center" vertical="center"/>
    </xf>
    <xf numFmtId="0" fontId="108" fillId="0" borderId="27" xfId="68" applyFont="1" applyFill="1" applyBorder="1" applyAlignment="1">
      <alignment horizontal="center" vertical="center" wrapText="1"/>
    </xf>
    <xf numFmtId="0" fontId="108" fillId="29" borderId="27" xfId="68" applyFont="1" applyFill="1" applyBorder="1" applyAlignment="1">
      <alignment horizontal="center" vertical="center" wrapText="1"/>
    </xf>
    <xf numFmtId="0" fontId="108" fillId="29" borderId="31" xfId="68" applyFont="1" applyFill="1" applyBorder="1" applyAlignment="1">
      <alignment horizontal="center" vertical="center" wrapText="1"/>
    </xf>
    <xf numFmtId="0" fontId="108" fillId="24" borderId="18" xfId="68" applyFont="1" applyFill="1" applyBorder="1" applyAlignment="1">
      <alignment horizontal="center" vertical="center" wrapText="1"/>
    </xf>
    <xf numFmtId="0" fontId="106" fillId="0" borderId="0" xfId="69" applyFont="1" applyBorder="1" applyAlignment="1">
      <alignment horizontal="center" wrapText="1"/>
    </xf>
    <xf numFmtId="0" fontId="93" fillId="33" borderId="26" xfId="47" applyFont="1" applyFill="1" applyBorder="1" applyAlignment="1">
      <alignment vertical="center" wrapText="1"/>
    </xf>
    <xf numFmtId="0" fontId="57" fillId="33" borderId="24" xfId="47" applyFont="1" applyFill="1" applyBorder="1" applyAlignment="1">
      <alignment horizontal="center" vertical="center" wrapText="1"/>
    </xf>
    <xf numFmtId="3" fontId="57" fillId="33" borderId="24" xfId="47" applyNumberFormat="1" applyFont="1" applyFill="1" applyBorder="1" applyAlignment="1">
      <alignment horizontal="center" vertical="center" wrapText="1"/>
    </xf>
    <xf numFmtId="0" fontId="67" fillId="33" borderId="29" xfId="47" applyNumberFormat="1" applyFont="1" applyFill="1" applyBorder="1" applyAlignment="1">
      <alignment horizontal="justify" vertical="center"/>
    </xf>
    <xf numFmtId="0" fontId="67" fillId="33" borderId="28" xfId="47" applyNumberFormat="1" applyFont="1" applyFill="1" applyBorder="1" applyAlignment="1">
      <alignment horizontal="justify" vertical="center"/>
    </xf>
    <xf numFmtId="0" fontId="67" fillId="33" borderId="30" xfId="47" applyFont="1" applyFill="1" applyBorder="1" applyAlignment="1">
      <alignment horizontal="justify" vertical="center" wrapText="1"/>
    </xf>
    <xf numFmtId="0" fontId="57" fillId="33" borderId="31" xfId="47" applyFont="1" applyFill="1" applyBorder="1" applyAlignment="1">
      <alignment vertical="center"/>
    </xf>
    <xf numFmtId="0" fontId="67" fillId="33" borderId="28" xfId="47" applyFont="1" applyFill="1" applyBorder="1" applyAlignment="1">
      <alignment horizontal="justify" vertical="center" wrapText="1"/>
    </xf>
    <xf numFmtId="0" fontId="92" fillId="33" borderId="27" xfId="47" applyFont="1" applyFill="1" applyBorder="1" applyAlignment="1">
      <alignment vertical="center" wrapText="1"/>
    </xf>
    <xf numFmtId="3" fontId="57" fillId="0" borderId="19" xfId="47" applyNumberFormat="1" applyFont="1" applyFill="1" applyBorder="1" applyAlignment="1">
      <alignment horizontal="center" vertical="center" wrapText="1"/>
    </xf>
    <xf numFmtId="3" fontId="168" fillId="0" borderId="0" xfId="0" applyNumberFormat="1" applyFont="1"/>
    <xf numFmtId="0" fontId="51" fillId="0" borderId="0" xfId="52" applyFont="1"/>
    <xf numFmtId="0" fontId="22" fillId="0" borderId="0" xfId="52" applyFont="1" applyAlignment="1">
      <alignment wrapText="1"/>
    </xf>
    <xf numFmtId="0" fontId="164" fillId="0" borderId="0" xfId="0" applyFont="1" applyAlignment="1">
      <alignment wrapText="1"/>
    </xf>
    <xf numFmtId="0" fontId="194" fillId="0" borderId="0" xfId="0" applyFont="1" applyAlignment="1">
      <alignment horizontal="center" wrapText="1"/>
    </xf>
    <xf numFmtId="0" fontId="22" fillId="0" borderId="0" xfId="52" applyFont="1" applyAlignment="1">
      <alignment horizontal="center"/>
    </xf>
    <xf numFmtId="0" fontId="67" fillId="0" borderId="0" xfId="90" applyFont="1" applyFill="1" applyAlignment="1"/>
    <xf numFmtId="0" fontId="67" fillId="0" borderId="0" xfId="91" applyFont="1" applyFill="1"/>
    <xf numFmtId="0" fontId="57" fillId="0" borderId="0" xfId="68" applyFont="1" applyFill="1" applyBorder="1" applyAlignment="1">
      <alignment horizontal="center" wrapText="1"/>
    </xf>
    <xf numFmtId="0" fontId="67" fillId="0" borderId="0" xfId="91" applyFont="1" applyFill="1" applyBorder="1"/>
    <xf numFmtId="0" fontId="67" fillId="0" borderId="0" xfId="92" applyFont="1" applyFill="1" applyBorder="1" applyAlignment="1">
      <alignment horizontal="right" vertical="center"/>
    </xf>
    <xf numFmtId="0" fontId="67" fillId="0" borderId="0" xfId="92" applyFont="1" applyFill="1" applyBorder="1" applyAlignment="1">
      <alignment horizontal="centerContinuous" vertical="center"/>
    </xf>
    <xf numFmtId="0" fontId="135" fillId="0" borderId="0" xfId="92" applyFont="1" applyFill="1" applyBorder="1" applyAlignment="1">
      <alignment horizontal="right" vertical="center"/>
    </xf>
    <xf numFmtId="3" fontId="67" fillId="0" borderId="0" xfId="91" applyNumberFormat="1" applyFont="1" applyFill="1" applyBorder="1" applyAlignment="1">
      <alignment horizontal="center" vertical="center"/>
    </xf>
    <xf numFmtId="0" fontId="57" fillId="0" borderId="0" xfId="92" applyFont="1" applyFill="1" applyBorder="1" applyAlignment="1">
      <alignment horizontal="centerContinuous" vertical="center"/>
    </xf>
    <xf numFmtId="0" fontId="67" fillId="0" borderId="0" xfId="92" applyFont="1" applyFill="1" applyBorder="1" applyAlignment="1">
      <alignment horizontal="center" vertical="center"/>
    </xf>
    <xf numFmtId="49" fontId="67" fillId="0" borderId="0" xfId="92" applyNumberFormat="1" applyFont="1" applyFill="1" applyBorder="1" applyAlignment="1">
      <alignment horizontal="center" vertical="center"/>
    </xf>
    <xf numFmtId="0" fontId="104" fillId="0" borderId="10" xfId="92" applyFont="1" applyFill="1" applyBorder="1" applyAlignment="1">
      <alignment horizontal="center" vertical="center"/>
    </xf>
    <xf numFmtId="0" fontId="104" fillId="0" borderId="16" xfId="92" applyFont="1" applyFill="1" applyBorder="1" applyAlignment="1">
      <alignment vertical="center" wrapText="1"/>
    </xf>
    <xf numFmtId="3" fontId="135" fillId="0" borderId="76" xfId="92" applyNumberFormat="1" applyFont="1" applyFill="1" applyBorder="1" applyAlignment="1">
      <alignment horizontal="right" vertical="center"/>
    </xf>
    <xf numFmtId="3" fontId="135" fillId="0" borderId="10" xfId="92" applyNumberFormat="1" applyFont="1" applyFill="1" applyBorder="1" applyAlignment="1">
      <alignment horizontal="right" vertical="center"/>
    </xf>
    <xf numFmtId="3" fontId="57" fillId="0" borderId="0" xfId="92" applyNumberFormat="1" applyFont="1" applyFill="1" applyBorder="1" applyAlignment="1">
      <alignment horizontal="center" vertical="center"/>
    </xf>
    <xf numFmtId="0" fontId="103" fillId="0" borderId="10" xfId="92" applyFont="1" applyFill="1" applyBorder="1" applyAlignment="1">
      <alignment horizontal="center" vertical="center"/>
    </xf>
    <xf numFmtId="0" fontId="103" fillId="0" borderId="16" xfId="92" applyFont="1" applyFill="1" applyBorder="1" applyAlignment="1">
      <alignment horizontal="left" vertical="center" indent="3"/>
    </xf>
    <xf numFmtId="3" fontId="136" fillId="0" borderId="76" xfId="92" applyNumberFormat="1" applyFont="1" applyFill="1" applyBorder="1" applyAlignment="1">
      <alignment horizontal="right" vertical="center"/>
    </xf>
    <xf numFmtId="3" fontId="136" fillId="0" borderId="38" xfId="92" applyNumberFormat="1" applyFont="1" applyFill="1" applyBorder="1" applyAlignment="1">
      <alignment horizontal="right" vertical="center"/>
    </xf>
    <xf numFmtId="3" fontId="67" fillId="0" borderId="0" xfId="92" applyNumberFormat="1" applyFont="1" applyFill="1" applyBorder="1" applyAlignment="1">
      <alignment vertical="center"/>
    </xf>
    <xf numFmtId="0" fontId="104" fillId="39" borderId="10" xfId="92" applyFont="1" applyFill="1" applyBorder="1" applyAlignment="1">
      <alignment vertical="center"/>
    </xf>
    <xf numFmtId="0" fontId="104" fillId="39" borderId="16" xfId="92" applyFont="1" applyFill="1" applyBorder="1" applyAlignment="1">
      <alignment vertical="center"/>
    </xf>
    <xf numFmtId="3" fontId="135" fillId="39" borderId="76" xfId="92" applyNumberFormat="1" applyFont="1" applyFill="1" applyBorder="1" applyAlignment="1">
      <alignment horizontal="right" vertical="center"/>
    </xf>
    <xf numFmtId="3" fontId="135" fillId="39" borderId="10" xfId="92" applyNumberFormat="1" applyFont="1" applyFill="1" applyBorder="1" applyAlignment="1">
      <alignment horizontal="right" vertical="center"/>
    </xf>
    <xf numFmtId="0" fontId="57" fillId="0" borderId="0" xfId="92" applyFont="1" applyFill="1" applyBorder="1" applyAlignment="1">
      <alignment horizontal="left" vertical="center"/>
    </xf>
    <xf numFmtId="3" fontId="57" fillId="0" borderId="0" xfId="92" applyNumberFormat="1" applyFont="1" applyFill="1" applyBorder="1" applyAlignment="1">
      <alignment horizontal="right" vertical="center"/>
    </xf>
    <xf numFmtId="3" fontId="57" fillId="0" borderId="0" xfId="92" applyNumberFormat="1" applyFont="1" applyFill="1" applyBorder="1" applyAlignment="1">
      <alignment vertical="center"/>
    </xf>
    <xf numFmtId="0" fontId="103" fillId="0" borderId="23" xfId="93" applyFont="1" applyFill="1" applyBorder="1" applyAlignment="1">
      <alignment horizontal="center" vertical="center"/>
    </xf>
    <xf numFmtId="0" fontId="103" fillId="0" borderId="33" xfId="93" applyFont="1" applyFill="1" applyBorder="1" applyAlignment="1">
      <alignment horizontal="center" vertical="center"/>
    </xf>
    <xf numFmtId="0" fontId="104" fillId="0" borderId="43" xfId="92" applyFont="1" applyFill="1" applyBorder="1" applyAlignment="1">
      <alignment horizontal="center" vertical="center"/>
    </xf>
    <xf numFmtId="0" fontId="104" fillId="0" borderId="57" xfId="92" applyFont="1" applyFill="1" applyBorder="1" applyAlignment="1">
      <alignment vertical="center"/>
    </xf>
    <xf numFmtId="3" fontId="135" fillId="0" borderId="86" xfId="92" applyNumberFormat="1" applyFont="1" applyFill="1" applyBorder="1" applyAlignment="1">
      <alignment horizontal="right" vertical="center"/>
    </xf>
    <xf numFmtId="3" fontId="135" fillId="0" borderId="43" xfId="92" applyNumberFormat="1" applyFont="1" applyFill="1" applyBorder="1" applyAlignment="1">
      <alignment horizontal="right" vertical="center"/>
    </xf>
    <xf numFmtId="3" fontId="136" fillId="0" borderId="76" xfId="91" applyNumberFormat="1" applyFont="1" applyFill="1" applyBorder="1" applyAlignment="1">
      <alignment horizontal="right" vertical="center"/>
    </xf>
    <xf numFmtId="3" fontId="136" fillId="0" borderId="10" xfId="91" applyNumberFormat="1" applyFont="1" applyFill="1" applyBorder="1" applyAlignment="1">
      <alignment horizontal="right" vertical="center"/>
    </xf>
    <xf numFmtId="3" fontId="136" fillId="0" borderId="10" xfId="92" applyNumberFormat="1" applyFont="1" applyFill="1" applyBorder="1" applyAlignment="1">
      <alignment horizontal="right" vertical="center"/>
    </xf>
    <xf numFmtId="0" fontId="104" fillId="0" borderId="16" xfId="92" applyFont="1" applyFill="1" applyBorder="1" applyAlignment="1">
      <alignment vertical="center"/>
    </xf>
    <xf numFmtId="3" fontId="135" fillId="0" borderId="76" xfId="91" applyNumberFormat="1" applyFont="1" applyFill="1" applyBorder="1" applyAlignment="1">
      <alignment horizontal="right" vertical="center"/>
    </xf>
    <xf numFmtId="3" fontId="135" fillId="0" borderId="10" xfId="91" applyNumberFormat="1" applyFont="1" applyFill="1" applyBorder="1" applyAlignment="1">
      <alignment horizontal="right" vertical="center"/>
    </xf>
    <xf numFmtId="3" fontId="57" fillId="0" borderId="0" xfId="91" applyNumberFormat="1" applyFont="1" applyFill="1" applyBorder="1" applyAlignment="1">
      <alignment horizontal="center" vertical="center"/>
    </xf>
    <xf numFmtId="0" fontId="57" fillId="0" borderId="0" xfId="91" applyFont="1" applyFill="1" applyBorder="1"/>
    <xf numFmtId="0" fontId="57" fillId="0" borderId="0" xfId="91" applyFont="1" applyFill="1"/>
    <xf numFmtId="3" fontId="57" fillId="30" borderId="0" xfId="91" applyNumberFormat="1" applyFont="1" applyFill="1" applyBorder="1" applyAlignment="1">
      <alignment horizontal="center" vertical="center"/>
    </xf>
    <xf numFmtId="0" fontId="57" fillId="30" borderId="0" xfId="91" applyFont="1" applyFill="1" applyBorder="1"/>
    <xf numFmtId="0" fontId="57" fillId="30" borderId="0" xfId="91" applyFont="1" applyFill="1"/>
    <xf numFmtId="3" fontId="67" fillId="0" borderId="0" xfId="91" applyNumberFormat="1" applyFont="1" applyFill="1" applyBorder="1" applyAlignment="1">
      <alignment horizontal="right"/>
    </xf>
    <xf numFmtId="0" fontId="67" fillId="0" borderId="0" xfId="91" applyFont="1" applyFill="1" applyBorder="1" applyAlignment="1">
      <alignment horizontal="right"/>
    </xf>
    <xf numFmtId="3" fontId="67" fillId="0" borderId="0" xfId="91" applyNumberFormat="1" applyFont="1" applyFill="1" applyAlignment="1">
      <alignment horizontal="center" vertical="center"/>
    </xf>
    <xf numFmtId="0" fontId="67" fillId="0" borderId="0" xfId="91" applyFont="1" applyFill="1" applyAlignment="1">
      <alignment horizontal="right"/>
    </xf>
    <xf numFmtId="3" fontId="57" fillId="0" borderId="24" xfId="0" applyNumberFormat="1" applyFont="1" applyFill="1" applyBorder="1" applyAlignment="1">
      <alignment horizontal="right"/>
    </xf>
    <xf numFmtId="4" fontId="163" fillId="0" borderId="28" xfId="50" applyNumberFormat="1" applyFont="1" applyBorder="1"/>
    <xf numFmtId="4" fontId="167" fillId="24" borderId="36" xfId="46" applyNumberFormat="1" applyFont="1" applyFill="1" applyBorder="1" applyAlignment="1">
      <alignment vertical="center"/>
    </xf>
    <xf numFmtId="0" fontId="15" fillId="0" borderId="0" xfId="98" applyFont="1"/>
    <xf numFmtId="0" fontId="167" fillId="0" borderId="0" xfId="98" applyFont="1" applyFill="1" applyAlignment="1">
      <alignment horizontal="center" wrapText="1"/>
    </xf>
    <xf numFmtId="0" fontId="168" fillId="0" borderId="0" xfId="98" applyFont="1" applyAlignment="1">
      <alignment horizontal="center" wrapText="1"/>
    </xf>
    <xf numFmtId="0" fontId="168" fillId="0" borderId="0" xfId="98" applyFont="1" applyAlignment="1"/>
    <xf numFmtId="0" fontId="168" fillId="0" borderId="0" xfId="98" applyFont="1"/>
    <xf numFmtId="0" fontId="168" fillId="0" borderId="0" xfId="98" applyFont="1" applyAlignment="1">
      <alignment vertical="center"/>
    </xf>
    <xf numFmtId="0" fontId="167" fillId="0" borderId="0" xfId="98" applyFont="1" applyAlignment="1">
      <alignment horizontal="center"/>
    </xf>
    <xf numFmtId="0" fontId="106" fillId="0" borderId="10" xfId="98" applyFont="1" applyBorder="1" applyAlignment="1">
      <alignment horizontal="center" vertical="center"/>
    </xf>
    <xf numFmtId="0" fontId="106" fillId="0" borderId="10" xfId="98" applyFont="1" applyFill="1" applyBorder="1" applyAlignment="1">
      <alignment horizontal="center" vertical="center"/>
    </xf>
    <xf numFmtId="0" fontId="106" fillId="0" borderId="10" xfId="98" applyFont="1" applyFill="1" applyBorder="1" applyAlignment="1">
      <alignment horizontal="center" vertical="center" wrapText="1"/>
    </xf>
    <xf numFmtId="0" fontId="108" fillId="0" borderId="10" xfId="98" applyFont="1" applyBorder="1" applyAlignment="1">
      <alignment horizontal="left" vertical="center" wrapText="1"/>
    </xf>
    <xf numFmtId="3" fontId="163" fillId="0" borderId="10" xfId="98" applyNumberFormat="1" applyFont="1" applyFill="1" applyBorder="1"/>
    <xf numFmtId="0" fontId="109" fillId="0" borderId="10" xfId="98" applyFont="1" applyBorder="1" applyAlignment="1">
      <alignment horizontal="left" vertical="center" wrapText="1"/>
    </xf>
    <xf numFmtId="3" fontId="156" fillId="0" borderId="10" xfId="98" applyNumberFormat="1" applyFont="1" applyFill="1" applyBorder="1"/>
    <xf numFmtId="0" fontId="61" fillId="0" borderId="0" xfId="98" applyFont="1"/>
    <xf numFmtId="0" fontId="109" fillId="37" borderId="10" xfId="98" applyFont="1" applyFill="1" applyBorder="1" applyAlignment="1">
      <alignment horizontal="left" vertical="center" wrapText="1"/>
    </xf>
    <xf numFmtId="3" fontId="156" fillId="37" borderId="10" xfId="98" applyNumberFormat="1" applyFont="1" applyFill="1" applyBorder="1"/>
    <xf numFmtId="0" fontId="109" fillId="38" borderId="10" xfId="98" applyFont="1" applyFill="1" applyBorder="1" applyAlignment="1">
      <alignment horizontal="left" vertical="center" wrapText="1"/>
    </xf>
    <xf numFmtId="3" fontId="156" fillId="38" borderId="10" xfId="98" applyNumberFormat="1" applyFont="1" applyFill="1" applyBorder="1"/>
    <xf numFmtId="3" fontId="21" fillId="0" borderId="0" xfId="98" applyNumberFormat="1" applyFont="1"/>
    <xf numFmtId="0" fontId="109" fillId="0" borderId="10" xfId="98" applyFont="1" applyFill="1" applyBorder="1" applyAlignment="1">
      <alignment horizontal="left" vertical="center" wrapText="1"/>
    </xf>
    <xf numFmtId="0" fontId="168" fillId="0" borderId="0" xfId="98" applyFont="1" applyAlignment="1">
      <alignment wrapText="1"/>
    </xf>
    <xf numFmtId="0" fontId="167" fillId="0" borderId="0" xfId="98" applyFont="1" applyAlignment="1">
      <alignment horizontal="right" wrapText="1"/>
    </xf>
    <xf numFmtId="0" fontId="168" fillId="0" borderId="0" xfId="98" applyFont="1" applyAlignment="1">
      <alignment horizontal="center"/>
    </xf>
    <xf numFmtId="3" fontId="168" fillId="0" borderId="0" xfId="98" applyNumberFormat="1" applyFont="1" applyFill="1" applyBorder="1" applyAlignment="1">
      <alignment wrapText="1"/>
    </xf>
    <xf numFmtId="3" fontId="168" fillId="0" borderId="0" xfId="98" applyNumberFormat="1" applyFont="1" applyFill="1" applyBorder="1" applyAlignment="1">
      <alignment horizontal="center"/>
    </xf>
    <xf numFmtId="3" fontId="168" fillId="0" borderId="0" xfId="98" applyNumberFormat="1" applyFont="1" applyFill="1" applyBorder="1"/>
    <xf numFmtId="3" fontId="167" fillId="0" borderId="0" xfId="98" applyNumberFormat="1" applyFont="1" applyFill="1" applyBorder="1" applyAlignment="1">
      <alignment horizontal="right"/>
    </xf>
    <xf numFmtId="3" fontId="171" fillId="0" borderId="19" xfId="99" applyNumberFormat="1" applyFont="1" applyFill="1" applyBorder="1" applyAlignment="1">
      <alignment horizontal="center" vertical="center" wrapText="1"/>
    </xf>
    <xf numFmtId="3" fontId="171" fillId="0" borderId="17" xfId="99" applyNumberFormat="1" applyFont="1" applyFill="1" applyBorder="1" applyAlignment="1">
      <alignment horizontal="center" vertical="center" wrapText="1"/>
    </xf>
    <xf numFmtId="3" fontId="170" fillId="0" borderId="24" xfId="99" applyNumberFormat="1" applyFont="1" applyFill="1" applyBorder="1"/>
    <xf numFmtId="3" fontId="170" fillId="0" borderId="30" xfId="99" applyNumberFormat="1" applyFont="1" applyFill="1" applyBorder="1"/>
    <xf numFmtId="3" fontId="105" fillId="0" borderId="0" xfId="98" applyNumberFormat="1" applyFont="1"/>
    <xf numFmtId="3" fontId="170" fillId="0" borderId="10" xfId="99" applyNumberFormat="1" applyFont="1" applyFill="1" applyBorder="1"/>
    <xf numFmtId="3" fontId="170" fillId="0" borderId="28" xfId="99" applyNumberFormat="1" applyFont="1" applyFill="1" applyBorder="1"/>
    <xf numFmtId="0" fontId="102" fillId="0" borderId="0" xfId="98" applyFont="1"/>
    <xf numFmtId="3" fontId="172" fillId="0" borderId="10" xfId="99" applyNumberFormat="1" applyFont="1" applyFill="1" applyBorder="1"/>
    <xf numFmtId="3" fontId="172" fillId="0" borderId="28" xfId="99" applyNumberFormat="1" applyFont="1" applyFill="1" applyBorder="1"/>
    <xf numFmtId="3" fontId="154" fillId="0" borderId="0" xfId="98" applyNumberFormat="1" applyFont="1"/>
    <xf numFmtId="3" fontId="172" fillId="0" borderId="21" xfId="99" applyNumberFormat="1" applyFont="1" applyFill="1" applyBorder="1"/>
    <xf numFmtId="3" fontId="172" fillId="0" borderId="23" xfId="99" applyNumberFormat="1" applyFont="1" applyFill="1" applyBorder="1"/>
    <xf numFmtId="3" fontId="172" fillId="0" borderId="74" xfId="99" applyNumberFormat="1" applyFont="1" applyFill="1" applyBorder="1"/>
    <xf numFmtId="3" fontId="170" fillId="0" borderId="23" xfId="99" applyNumberFormat="1" applyFont="1" applyFill="1" applyBorder="1"/>
    <xf numFmtId="3" fontId="170" fillId="0" borderId="29" xfId="99" applyNumberFormat="1" applyFont="1" applyFill="1" applyBorder="1"/>
    <xf numFmtId="3" fontId="170" fillId="0" borderId="23" xfId="99" applyNumberFormat="1" applyFont="1" applyBorder="1"/>
    <xf numFmtId="3" fontId="170" fillId="0" borderId="29" xfId="99" applyNumberFormat="1" applyFont="1" applyBorder="1"/>
    <xf numFmtId="3" fontId="170" fillId="0" borderId="10" xfId="99" applyNumberFormat="1" applyFont="1" applyBorder="1"/>
    <xf numFmtId="0" fontId="15" fillId="0" borderId="0" xfId="98" applyFont="1" applyFill="1"/>
    <xf numFmtId="3" fontId="15" fillId="0" borderId="0" xfId="98" applyNumberFormat="1" applyFont="1"/>
    <xf numFmtId="0" fontId="22" fillId="0" borderId="0" xfId="98" applyFont="1" applyFill="1" applyBorder="1" applyAlignment="1">
      <alignment horizontal="left" vertical="center" wrapText="1"/>
    </xf>
    <xf numFmtId="3" fontId="92" fillId="0" borderId="0" xfId="98" applyNumberFormat="1" applyFont="1" applyBorder="1"/>
    <xf numFmtId="3" fontId="15" fillId="0" borderId="0" xfId="98" applyNumberFormat="1" applyFont="1" applyBorder="1"/>
    <xf numFmtId="0" fontId="15" fillId="0" borderId="0" xfId="98" applyFont="1" applyBorder="1"/>
    <xf numFmtId="3" fontId="93" fillId="0" borderId="0" xfId="98" applyNumberFormat="1" applyFont="1" applyBorder="1"/>
    <xf numFmtId="3" fontId="174" fillId="0" borderId="0" xfId="98" applyNumberFormat="1" applyFont="1" applyBorder="1"/>
    <xf numFmtId="0" fontId="15" fillId="0" borderId="0" xfId="98" applyFont="1" applyBorder="1" applyAlignment="1">
      <alignment vertical="center"/>
    </xf>
    <xf numFmtId="0" fontId="15" fillId="0" borderId="0" xfId="98" applyFont="1" applyAlignment="1">
      <alignment vertical="center"/>
    </xf>
    <xf numFmtId="3" fontId="136" fillId="0" borderId="10" xfId="92" applyNumberFormat="1" applyFont="1" applyFill="1" applyBorder="1" applyAlignment="1">
      <alignment horizontal="right" vertical="center"/>
    </xf>
    <xf numFmtId="0" fontId="11" fillId="0" borderId="0" xfId="52"/>
    <xf numFmtId="0" fontId="202" fillId="40" borderId="10" xfId="52" applyFont="1" applyFill="1" applyBorder="1" applyAlignment="1">
      <alignment horizontal="center" vertical="top" wrapText="1"/>
    </xf>
    <xf numFmtId="0" fontId="203" fillId="0" borderId="10" xfId="52" applyFont="1" applyBorder="1" applyAlignment="1">
      <alignment horizontal="center" vertical="top" wrapText="1"/>
    </xf>
    <xf numFmtId="0" fontId="204" fillId="0" borderId="10" xfId="52" applyFont="1" applyBorder="1" applyAlignment="1">
      <alignment horizontal="center" vertical="top" wrapText="1"/>
    </xf>
    <xf numFmtId="0" fontId="204" fillId="36" borderId="10" xfId="52" applyFont="1" applyFill="1" applyBorder="1" applyAlignment="1">
      <alignment horizontal="center" vertical="top" wrapText="1"/>
    </xf>
    <xf numFmtId="3" fontId="53" fillId="0" borderId="10" xfId="52" applyNumberFormat="1" applyFont="1" applyBorder="1" applyAlignment="1">
      <alignment horizontal="right" vertical="top" wrapText="1"/>
    </xf>
    <xf numFmtId="3" fontId="12" fillId="0" borderId="10" xfId="52" applyNumberFormat="1" applyFont="1" applyBorder="1" applyAlignment="1">
      <alignment horizontal="right" vertical="top" wrapText="1"/>
    </xf>
    <xf numFmtId="3" fontId="12" fillId="36" borderId="10" xfId="52" applyNumberFormat="1" applyFont="1" applyFill="1" applyBorder="1" applyAlignment="1">
      <alignment horizontal="right" vertical="top" wrapText="1"/>
    </xf>
    <xf numFmtId="0" fontId="206" fillId="0" borderId="0" xfId="52" applyFont="1"/>
    <xf numFmtId="0" fontId="22" fillId="0" borderId="0" xfId="52" applyFont="1" applyAlignment="1">
      <alignment horizontal="right"/>
    </xf>
    <xf numFmtId="0" fontId="204" fillId="0" borderId="0" xfId="52" applyFont="1" applyFill="1" applyBorder="1" applyAlignment="1">
      <alignment horizontal="center" vertical="top" wrapText="1"/>
    </xf>
    <xf numFmtId="0" fontId="204" fillId="0" borderId="0" xfId="52" applyFont="1" applyFill="1" applyBorder="1" applyAlignment="1">
      <alignment horizontal="left" vertical="top" wrapText="1"/>
    </xf>
    <xf numFmtId="3" fontId="12" fillId="0" borderId="0" xfId="52" applyNumberFormat="1" applyFont="1" applyFill="1" applyBorder="1" applyAlignment="1">
      <alignment horizontal="right" vertical="top" wrapText="1"/>
    </xf>
    <xf numFmtId="3" fontId="135" fillId="0" borderId="38" xfId="92" applyNumberFormat="1" applyFont="1" applyFill="1" applyBorder="1" applyAlignment="1">
      <alignment horizontal="right" vertical="center"/>
    </xf>
    <xf numFmtId="3" fontId="135" fillId="39" borderId="38" xfId="92" applyNumberFormat="1" applyFont="1" applyFill="1" applyBorder="1" applyAlignment="1">
      <alignment horizontal="right" vertical="center"/>
    </xf>
    <xf numFmtId="3" fontId="135" fillId="0" borderId="87" xfId="92" applyNumberFormat="1" applyFont="1" applyFill="1" applyBorder="1" applyAlignment="1">
      <alignment horizontal="right" vertical="center"/>
    </xf>
    <xf numFmtId="3" fontId="135" fillId="0" borderId="88" xfId="92" applyNumberFormat="1" applyFont="1" applyFill="1" applyBorder="1" applyAlignment="1">
      <alignment horizontal="right" vertical="center"/>
    </xf>
    <xf numFmtId="3" fontId="135" fillId="0" borderId="89" xfId="92" applyNumberFormat="1" applyFont="1" applyFill="1" applyBorder="1" applyAlignment="1">
      <alignment horizontal="right" vertical="center"/>
    </xf>
    <xf numFmtId="3" fontId="136" fillId="0" borderId="77" xfId="91" applyNumberFormat="1" applyFont="1" applyFill="1" applyBorder="1" applyAlignment="1">
      <alignment horizontal="right" vertical="center"/>
    </xf>
    <xf numFmtId="3" fontId="136" fillId="0" borderId="77" xfId="92" applyNumberFormat="1" applyFont="1" applyFill="1" applyBorder="1" applyAlignment="1">
      <alignment horizontal="right" vertical="center"/>
    </xf>
    <xf numFmtId="3" fontId="135" fillId="0" borderId="77" xfId="92" applyNumberFormat="1" applyFont="1" applyFill="1" applyBorder="1" applyAlignment="1">
      <alignment horizontal="right" vertical="center"/>
    </xf>
    <xf numFmtId="3" fontId="135" fillId="0" borderId="77" xfId="91" applyNumberFormat="1" applyFont="1" applyFill="1" applyBorder="1" applyAlignment="1">
      <alignment horizontal="right" vertical="center"/>
    </xf>
    <xf numFmtId="3" fontId="135" fillId="39" borderId="90" xfId="92" applyNumberFormat="1" applyFont="1" applyFill="1" applyBorder="1" applyAlignment="1">
      <alignment horizontal="right" vertical="center"/>
    </xf>
    <xf numFmtId="3" fontId="135" fillId="39" borderId="91" xfId="92" applyNumberFormat="1" applyFont="1" applyFill="1" applyBorder="1" applyAlignment="1">
      <alignment horizontal="right" vertical="center"/>
    </xf>
    <xf numFmtId="0" fontId="53" fillId="40" borderId="10" xfId="52" applyFont="1" applyFill="1" applyBorder="1" applyAlignment="1">
      <alignment horizontal="center" vertical="top" wrapText="1"/>
    </xf>
    <xf numFmtId="0" fontId="205" fillId="0" borderId="10" xfId="52" applyFont="1" applyBorder="1" applyAlignment="1">
      <alignment horizontal="center" vertical="top" wrapText="1"/>
    </xf>
    <xf numFmtId="0" fontId="205" fillId="0" borderId="10" xfId="52" applyFont="1" applyBorder="1" applyAlignment="1">
      <alignment horizontal="left" vertical="top" wrapText="1"/>
    </xf>
    <xf numFmtId="0" fontId="77" fillId="0" borderId="10" xfId="52" applyFont="1" applyBorder="1" applyAlignment="1">
      <alignment horizontal="center" vertical="top" wrapText="1"/>
    </xf>
    <xf numFmtId="0" fontId="77" fillId="0" borderId="10" xfId="52" applyFont="1" applyBorder="1" applyAlignment="1">
      <alignment horizontal="left" vertical="top" wrapText="1"/>
    </xf>
    <xf numFmtId="3" fontId="207" fillId="0" borderId="10" xfId="52" applyNumberFormat="1" applyFont="1" applyBorder="1" applyAlignment="1">
      <alignment horizontal="right" vertical="top" wrapText="1"/>
    </xf>
    <xf numFmtId="3" fontId="208" fillId="0" borderId="10" xfId="52" applyNumberFormat="1" applyFont="1" applyBorder="1" applyAlignment="1">
      <alignment horizontal="right" vertical="top" wrapText="1"/>
    </xf>
    <xf numFmtId="0" fontId="106" fillId="0" borderId="0" xfId="0" applyFont="1" applyAlignment="1">
      <alignment horizontal="center"/>
    </xf>
    <xf numFmtId="0" fontId="83" fillId="0" borderId="27" xfId="0" applyFont="1" applyFill="1" applyBorder="1" applyAlignment="1">
      <alignment horizontal="left" vertical="center" wrapText="1"/>
    </xf>
    <xf numFmtId="0" fontId="105" fillId="0" borderId="16" xfId="84" applyFont="1" applyFill="1" applyBorder="1" applyAlignment="1">
      <alignment horizontal="left" vertical="center" wrapText="1"/>
    </xf>
    <xf numFmtId="4" fontId="106" fillId="0" borderId="16" xfId="0" applyNumberFormat="1" applyFont="1" applyBorder="1" applyAlignment="1">
      <alignment horizontal="right"/>
    </xf>
    <xf numFmtId="4" fontId="106" fillId="26" borderId="16" xfId="0" applyNumberFormat="1" applyFont="1" applyFill="1" applyBorder="1" applyAlignment="1">
      <alignment horizontal="right"/>
    </xf>
    <xf numFmtId="4" fontId="106" fillId="24" borderId="16" xfId="0" applyNumberFormat="1" applyFont="1" applyFill="1" applyBorder="1" applyAlignment="1">
      <alignment horizontal="right"/>
    </xf>
    <xf numFmtId="4" fontId="106" fillId="27" borderId="44" xfId="0" applyNumberFormat="1" applyFont="1" applyFill="1" applyBorder="1" applyAlignment="1">
      <alignment horizontal="right"/>
    </xf>
    <xf numFmtId="4" fontId="105" fillId="26" borderId="16" xfId="0" applyNumberFormat="1" applyFont="1" applyFill="1" applyBorder="1" applyAlignment="1">
      <alignment horizontal="right"/>
    </xf>
    <xf numFmtId="0" fontId="163" fillId="0" borderId="0" xfId="0" applyFont="1"/>
    <xf numFmtId="0" fontId="163" fillId="0" borderId="0" xfId="0" applyFont="1" applyAlignment="1">
      <alignment horizontal="right"/>
    </xf>
    <xf numFmtId="0" fontId="211" fillId="0" borderId="0" xfId="0" applyFont="1"/>
    <xf numFmtId="0" fontId="211" fillId="0" borderId="0" xfId="0" applyFont="1" applyAlignment="1">
      <alignment horizontal="right"/>
    </xf>
    <xf numFmtId="3" fontId="168" fillId="0" borderId="27" xfId="0" applyNumberFormat="1" applyFont="1" applyBorder="1"/>
    <xf numFmtId="3" fontId="168" fillId="0" borderId="10" xfId="0" applyNumberFormat="1" applyFont="1" applyBorder="1"/>
    <xf numFmtId="3" fontId="168" fillId="0" borderId="28" xfId="0" applyNumberFormat="1" applyFont="1" applyBorder="1"/>
    <xf numFmtId="3" fontId="168" fillId="0" borderId="38" xfId="0" applyNumberFormat="1" applyFont="1" applyBorder="1"/>
    <xf numFmtId="3" fontId="168" fillId="0" borderId="16" xfId="0" applyNumberFormat="1" applyFont="1" applyBorder="1"/>
    <xf numFmtId="3" fontId="167" fillId="0" borderId="27" xfId="0" applyNumberFormat="1" applyFont="1" applyBorder="1"/>
    <xf numFmtId="3" fontId="167" fillId="0" borderId="10" xfId="0" applyNumberFormat="1" applyFont="1" applyBorder="1"/>
    <xf numFmtId="3" fontId="167" fillId="0" borderId="28" xfId="0" applyNumberFormat="1" applyFont="1" applyBorder="1"/>
    <xf numFmtId="3" fontId="167" fillId="0" borderId="38" xfId="0" applyNumberFormat="1" applyFont="1" applyBorder="1"/>
    <xf numFmtId="3" fontId="167" fillId="0" borderId="16" xfId="0" applyNumberFormat="1" applyFont="1" applyBorder="1"/>
    <xf numFmtId="3" fontId="167" fillId="0" borderId="10" xfId="0" applyNumberFormat="1" applyFont="1" applyFill="1" applyBorder="1"/>
    <xf numFmtId="3" fontId="167" fillId="0" borderId="28" xfId="0" applyNumberFormat="1" applyFont="1" applyFill="1" applyBorder="1"/>
    <xf numFmtId="3" fontId="167" fillId="0" borderId="38" xfId="0" applyNumberFormat="1" applyFont="1" applyFill="1" applyBorder="1"/>
    <xf numFmtId="3" fontId="168" fillId="0" borderId="10" xfId="0" applyNumberFormat="1" applyFont="1" applyFill="1" applyBorder="1"/>
    <xf numFmtId="3" fontId="168" fillId="0" borderId="28" xfId="0" applyNumberFormat="1" applyFont="1" applyFill="1" applyBorder="1"/>
    <xf numFmtId="3" fontId="168" fillId="0" borderId="38" xfId="0" applyNumberFormat="1" applyFont="1" applyFill="1" applyBorder="1"/>
    <xf numFmtId="4" fontId="168" fillId="0" borderId="28" xfId="0" applyNumberFormat="1" applyFont="1" applyBorder="1"/>
    <xf numFmtId="4" fontId="168" fillId="0" borderId="28" xfId="0" applyNumberFormat="1" applyFont="1" applyFill="1" applyBorder="1"/>
    <xf numFmtId="4" fontId="168" fillId="0" borderId="16" xfId="0" applyNumberFormat="1" applyFont="1" applyBorder="1"/>
    <xf numFmtId="3" fontId="167" fillId="26" borderId="27" xfId="0" applyNumberFormat="1" applyFont="1" applyFill="1" applyBorder="1"/>
    <xf numFmtId="3" fontId="167" fillId="26" borderId="10" xfId="0" applyNumberFormat="1" applyFont="1" applyFill="1" applyBorder="1"/>
    <xf numFmtId="4" fontId="167" fillId="26" borderId="28" xfId="0" applyNumberFormat="1" applyFont="1" applyFill="1" applyBorder="1"/>
    <xf numFmtId="3" fontId="167" fillId="26" borderId="38" xfId="0" applyNumberFormat="1" applyFont="1" applyFill="1" applyBorder="1"/>
    <xf numFmtId="4" fontId="167" fillId="26" borderId="16" xfId="0" applyNumberFormat="1" applyFont="1" applyFill="1" applyBorder="1"/>
    <xf numFmtId="3" fontId="167" fillId="26" borderId="28" xfId="0" applyNumberFormat="1" applyFont="1" applyFill="1" applyBorder="1"/>
    <xf numFmtId="3" fontId="167" fillId="26" borderId="16" xfId="0" applyNumberFormat="1" applyFont="1" applyFill="1" applyBorder="1"/>
    <xf numFmtId="3" fontId="167" fillId="24" borderId="27" xfId="0" applyNumberFormat="1" applyFont="1" applyFill="1" applyBorder="1"/>
    <xf numFmtId="3" fontId="167" fillId="24" borderId="10" xfId="0" applyNumberFormat="1" applyFont="1" applyFill="1" applyBorder="1"/>
    <xf numFmtId="4" fontId="167" fillId="24" borderId="28" xfId="0" applyNumberFormat="1" applyFont="1" applyFill="1" applyBorder="1"/>
    <xf numFmtId="3" fontId="167" fillId="24" borderId="38" xfId="0" applyNumberFormat="1" applyFont="1" applyFill="1" applyBorder="1"/>
    <xf numFmtId="4" fontId="167" fillId="24" borderId="16" xfId="0" applyNumberFormat="1" applyFont="1" applyFill="1" applyBorder="1"/>
    <xf numFmtId="3" fontId="168" fillId="28" borderId="27" xfId="0" applyNumberFormat="1" applyFont="1" applyFill="1" applyBorder="1"/>
    <xf numFmtId="3" fontId="168" fillId="28" borderId="10" xfId="0" applyNumberFormat="1" applyFont="1" applyFill="1" applyBorder="1"/>
    <xf numFmtId="3" fontId="168" fillId="28" borderId="28" xfId="0" applyNumberFormat="1" applyFont="1" applyFill="1" applyBorder="1"/>
    <xf numFmtId="3" fontId="168" fillId="28" borderId="38" xfId="0" applyNumberFormat="1" applyFont="1" applyFill="1" applyBorder="1"/>
    <xf numFmtId="3" fontId="168" fillId="28" borderId="16" xfId="0" applyNumberFormat="1" applyFont="1" applyFill="1" applyBorder="1"/>
    <xf numFmtId="3" fontId="167" fillId="24" borderId="28" xfId="0" applyNumberFormat="1" applyFont="1" applyFill="1" applyBorder="1"/>
    <xf numFmtId="3" fontId="167" fillId="27" borderId="34" xfId="0" applyNumberFormat="1" applyFont="1" applyFill="1" applyBorder="1"/>
    <xf numFmtId="3" fontId="167" fillId="27" borderId="35" xfId="0" applyNumberFormat="1" applyFont="1" applyFill="1" applyBorder="1"/>
    <xf numFmtId="4" fontId="167" fillId="27" borderId="36" xfId="0" applyNumberFormat="1" applyFont="1" applyFill="1" applyBorder="1"/>
    <xf numFmtId="3" fontId="167" fillId="27" borderId="64" xfId="0" applyNumberFormat="1" applyFont="1" applyFill="1" applyBorder="1"/>
    <xf numFmtId="4" fontId="167" fillId="27" borderId="44" xfId="0" applyNumberFormat="1" applyFont="1" applyFill="1" applyBorder="1"/>
    <xf numFmtId="3" fontId="168" fillId="0" borderId="16" xfId="0" applyNumberFormat="1" applyFont="1" applyFill="1" applyBorder="1"/>
    <xf numFmtId="3" fontId="168" fillId="0" borderId="27" xfId="0" applyNumberFormat="1" applyFont="1" applyFill="1" applyBorder="1"/>
    <xf numFmtId="4" fontId="167" fillId="0" borderId="28" xfId="0" applyNumberFormat="1" applyFont="1" applyBorder="1"/>
    <xf numFmtId="3" fontId="168" fillId="26" borderId="27" xfId="0" applyNumberFormat="1" applyFont="1" applyFill="1" applyBorder="1"/>
    <xf numFmtId="3" fontId="168" fillId="26" borderId="10" xfId="0" applyNumberFormat="1" applyFont="1" applyFill="1" applyBorder="1"/>
    <xf numFmtId="4" fontId="168" fillId="26" borderId="28" xfId="0" applyNumberFormat="1" applyFont="1" applyFill="1" applyBorder="1"/>
    <xf numFmtId="3" fontId="168" fillId="26" borderId="38" xfId="0" applyNumberFormat="1" applyFont="1" applyFill="1" applyBorder="1"/>
    <xf numFmtId="3" fontId="168" fillId="26" borderId="28" xfId="0" applyNumberFormat="1" applyFont="1" applyFill="1" applyBorder="1"/>
    <xf numFmtId="3" fontId="138" fillId="0" borderId="27" xfId="0" applyNumberFormat="1" applyFont="1" applyFill="1" applyBorder="1" applyAlignment="1">
      <alignment horizontal="left" vertical="center" wrapText="1"/>
    </xf>
    <xf numFmtId="3" fontId="138" fillId="0" borderId="10" xfId="0" applyNumberFormat="1" applyFont="1" applyFill="1" applyBorder="1" applyAlignment="1">
      <alignment horizontal="left" vertical="center" wrapText="1"/>
    </xf>
    <xf numFmtId="4" fontId="138" fillId="0" borderId="28" xfId="0" applyNumberFormat="1" applyFont="1" applyFill="1" applyBorder="1" applyAlignment="1">
      <alignment horizontal="left" vertical="center" wrapText="1"/>
    </xf>
    <xf numFmtId="3" fontId="138" fillId="0" borderId="38" xfId="0" applyNumberFormat="1" applyFont="1" applyFill="1" applyBorder="1" applyAlignment="1">
      <alignment horizontal="left" vertical="center" wrapText="1"/>
    </xf>
    <xf numFmtId="3" fontId="138" fillId="0" borderId="16" xfId="0" applyNumberFormat="1" applyFont="1" applyFill="1" applyBorder="1" applyAlignment="1">
      <alignment horizontal="left" vertical="center" wrapText="1"/>
    </xf>
    <xf numFmtId="3" fontId="138" fillId="0" borderId="28" xfId="0" applyNumberFormat="1" applyFont="1" applyFill="1" applyBorder="1" applyAlignment="1">
      <alignment horizontal="left" vertical="center" wrapText="1"/>
    </xf>
    <xf numFmtId="3" fontId="138" fillId="0" borderId="38" xfId="0" applyNumberFormat="1" applyFont="1" applyFill="1" applyBorder="1" applyAlignment="1">
      <alignment horizontal="right" vertical="center" wrapText="1"/>
    </xf>
    <xf numFmtId="3" fontId="138" fillId="0" borderId="10" xfId="0" applyNumberFormat="1" applyFont="1" applyFill="1" applyBorder="1" applyAlignment="1">
      <alignment horizontal="right" vertical="center" wrapText="1"/>
    </xf>
    <xf numFmtId="3" fontId="138" fillId="0" borderId="27" xfId="0" applyNumberFormat="1" applyFont="1" applyFill="1" applyBorder="1" applyAlignment="1">
      <alignment horizontal="left" vertical="center"/>
    </xf>
    <xf numFmtId="3" fontId="138" fillId="0" borderId="10" xfId="0" applyNumberFormat="1" applyFont="1" applyFill="1" applyBorder="1" applyAlignment="1">
      <alignment horizontal="left" vertical="center"/>
    </xf>
    <xf numFmtId="4" fontId="138" fillId="0" borderId="28" xfId="0" applyNumberFormat="1" applyFont="1" applyFill="1" applyBorder="1" applyAlignment="1">
      <alignment horizontal="left" vertical="center"/>
    </xf>
    <xf numFmtId="3" fontId="138" fillId="0" borderId="38" xfId="0" applyNumberFormat="1" applyFont="1" applyFill="1" applyBorder="1" applyAlignment="1">
      <alignment horizontal="left" vertical="center"/>
    </xf>
    <xf numFmtId="3" fontId="138" fillId="0" borderId="16" xfId="0" applyNumberFormat="1" applyFont="1" applyFill="1" applyBorder="1" applyAlignment="1">
      <alignment horizontal="left" vertical="center"/>
    </xf>
    <xf numFmtId="3" fontId="138" fillId="0" borderId="28" xfId="0" applyNumberFormat="1" applyFont="1" applyFill="1" applyBorder="1" applyAlignment="1">
      <alignment horizontal="left" vertical="center"/>
    </xf>
    <xf numFmtId="3" fontId="138" fillId="0" borderId="38" xfId="0" applyNumberFormat="1" applyFont="1" applyFill="1" applyBorder="1" applyAlignment="1">
      <alignment horizontal="right" vertical="center"/>
    </xf>
    <xf numFmtId="3" fontId="138" fillId="0" borderId="10" xfId="0" applyNumberFormat="1" applyFont="1" applyFill="1" applyBorder="1" applyAlignment="1">
      <alignment horizontal="right" vertical="center"/>
    </xf>
    <xf numFmtId="3" fontId="167" fillId="24" borderId="16" xfId="0" applyNumberFormat="1" applyFont="1" applyFill="1" applyBorder="1"/>
    <xf numFmtId="3" fontId="167" fillId="27" borderId="36" xfId="0" applyNumberFormat="1" applyFont="1" applyFill="1" applyBorder="1"/>
    <xf numFmtId="0" fontId="175" fillId="0" borderId="0" xfId="0" applyFont="1" applyAlignment="1"/>
    <xf numFmtId="0" fontId="105" fillId="0" borderId="0" xfId="46" applyFont="1" applyAlignment="1">
      <alignment horizontal="center" wrapText="1"/>
    </xf>
    <xf numFmtId="49" fontId="108" fillId="0" borderId="0" xfId="0" applyNumberFormat="1" applyFont="1" applyAlignment="1">
      <alignment horizontal="center"/>
    </xf>
    <xf numFmtId="0" fontId="108" fillId="0" borderId="0" xfId="0" applyFont="1" applyAlignment="1">
      <alignment horizontal="right"/>
    </xf>
    <xf numFmtId="2" fontId="67" fillId="0" borderId="10" xfId="47" applyNumberFormat="1" applyFont="1" applyFill="1" applyBorder="1" applyAlignment="1">
      <alignment vertical="center"/>
    </xf>
    <xf numFmtId="2" fontId="67" fillId="0" borderId="10" xfId="47" applyNumberFormat="1" applyFont="1" applyFill="1" applyBorder="1" applyAlignment="1">
      <alignment vertical="center" wrapText="1"/>
    </xf>
    <xf numFmtId="2" fontId="57" fillId="0" borderId="10" xfId="47" applyNumberFormat="1" applyFont="1" applyFill="1" applyBorder="1" applyAlignment="1">
      <alignment vertical="center"/>
    </xf>
    <xf numFmtId="0" fontId="92" fillId="0" borderId="27" xfId="0" applyFont="1" applyFill="1" applyBorder="1" applyAlignment="1">
      <alignment horizontal="center" vertical="center" wrapText="1"/>
    </xf>
    <xf numFmtId="0" fontId="205" fillId="36" borderId="10" xfId="52" applyFont="1" applyFill="1" applyBorder="1" applyAlignment="1">
      <alignment horizontal="left" vertical="top" wrapText="1"/>
    </xf>
    <xf numFmtId="0" fontId="1" fillId="0" borderId="0" xfId="100"/>
    <xf numFmtId="0" fontId="1" fillId="0" borderId="0" xfId="100" applyFill="1"/>
    <xf numFmtId="0" fontId="200" fillId="0" borderId="0" xfId="100" applyFont="1" applyFill="1"/>
    <xf numFmtId="0" fontId="200" fillId="0" borderId="0" xfId="100" applyFont="1"/>
    <xf numFmtId="49" fontId="197" fillId="0" borderId="0" xfId="100" applyNumberFormat="1" applyFont="1" applyAlignment="1">
      <alignment horizontal="center"/>
    </xf>
    <xf numFmtId="49" fontId="125" fillId="0" borderId="0" xfId="100" applyNumberFormat="1" applyFont="1" applyFill="1" applyAlignment="1">
      <alignment horizontal="center"/>
    </xf>
    <xf numFmtId="49" fontId="197" fillId="0" borderId="0" xfId="100" applyNumberFormat="1" applyFont="1" applyFill="1" applyAlignment="1">
      <alignment horizontal="center"/>
    </xf>
    <xf numFmtId="49" fontId="1" fillId="0" borderId="0" xfId="100" applyNumberFormat="1" applyFill="1" applyAlignment="1"/>
    <xf numFmtId="3" fontId="213" fillId="0" borderId="10" xfId="100" applyNumberFormat="1" applyFont="1" applyFill="1" applyBorder="1" applyAlignment="1">
      <alignment horizontal="center" wrapText="1"/>
    </xf>
    <xf numFmtId="3" fontId="201" fillId="0" borderId="10" xfId="100" applyNumberFormat="1" applyFont="1" applyFill="1" applyBorder="1" applyAlignment="1">
      <alignment horizontal="center" wrapText="1"/>
    </xf>
    <xf numFmtId="3" fontId="14" fillId="0" borderId="10" xfId="100" applyNumberFormat="1" applyFont="1" applyFill="1" applyBorder="1" applyAlignment="1">
      <alignment horizontal="center" wrapText="1"/>
    </xf>
    <xf numFmtId="3" fontId="14" fillId="0" borderId="10" xfId="100" applyNumberFormat="1" applyFont="1" applyBorder="1" applyAlignment="1">
      <alignment horizontal="center" wrapText="1"/>
    </xf>
    <xf numFmtId="49" fontId="196" fillId="0" borderId="10" xfId="100" applyNumberFormat="1" applyFont="1" applyBorder="1"/>
    <xf numFmtId="3" fontId="214" fillId="0" borderId="10" xfId="100" applyNumberFormat="1" applyFont="1" applyFill="1" applyBorder="1"/>
    <xf numFmtId="3" fontId="215" fillId="0" borderId="10" xfId="100" applyNumberFormat="1" applyFont="1" applyFill="1" applyBorder="1"/>
    <xf numFmtId="3" fontId="49" fillId="0" borderId="10" xfId="100" applyNumberFormat="1" applyFont="1" applyFill="1" applyBorder="1"/>
    <xf numFmtId="3" fontId="49" fillId="0" borderId="10" xfId="100" applyNumberFormat="1" applyFont="1" applyBorder="1"/>
    <xf numFmtId="49" fontId="215" fillId="0" borderId="10" xfId="100" applyNumberFormat="1" applyFont="1" applyBorder="1"/>
    <xf numFmtId="49" fontId="201" fillId="0" borderId="10" xfId="100" applyNumberFormat="1" applyFont="1" applyBorder="1"/>
    <xf numFmtId="3" fontId="213" fillId="0" borderId="10" xfId="100" applyNumberFormat="1" applyFont="1" applyFill="1" applyBorder="1"/>
    <xf numFmtId="3" fontId="201" fillId="0" borderId="10" xfId="100" applyNumberFormat="1" applyFont="1" applyFill="1" applyBorder="1"/>
    <xf numFmtId="3" fontId="14" fillId="0" borderId="10" xfId="100" applyNumberFormat="1" applyFont="1" applyFill="1" applyBorder="1"/>
    <xf numFmtId="3" fontId="14" fillId="0" borderId="10" xfId="100" applyNumberFormat="1" applyFont="1" applyBorder="1"/>
    <xf numFmtId="3" fontId="126" fillId="0" borderId="10" xfId="100" applyNumberFormat="1" applyFont="1" applyFill="1" applyBorder="1"/>
    <xf numFmtId="3" fontId="196" fillId="0" borderId="10" xfId="100" applyNumberFormat="1" applyFont="1" applyFill="1" applyBorder="1"/>
    <xf numFmtId="3" fontId="19" fillId="0" borderId="10" xfId="100" applyNumberFormat="1" applyFont="1" applyFill="1" applyBorder="1"/>
    <xf numFmtId="3" fontId="19" fillId="0" borderId="10" xfId="100" applyNumberFormat="1" applyFont="1" applyBorder="1"/>
    <xf numFmtId="3" fontId="196" fillId="0" borderId="0" xfId="100" applyNumberFormat="1" applyFont="1" applyBorder="1"/>
    <xf numFmtId="49" fontId="201" fillId="0" borderId="10" xfId="100" applyNumberFormat="1" applyFont="1" applyBorder="1" applyAlignment="1">
      <alignment horizontal="left" wrapText="1"/>
    </xf>
    <xf numFmtId="49" fontId="216" fillId="0" borderId="10" xfId="100" applyNumberFormat="1" applyFont="1" applyBorder="1"/>
    <xf numFmtId="49" fontId="196" fillId="0" borderId="10" xfId="100" applyNumberFormat="1" applyFont="1" applyFill="1" applyBorder="1"/>
    <xf numFmtId="3" fontId="1" fillId="0" borderId="0" xfId="100" applyNumberFormat="1"/>
    <xf numFmtId="49" fontId="196" fillId="0" borderId="0" xfId="100" applyNumberFormat="1" applyFont="1"/>
    <xf numFmtId="3" fontId="126" fillId="0" borderId="0" xfId="100" applyNumberFormat="1" applyFont="1" applyFill="1"/>
    <xf numFmtId="3" fontId="196" fillId="0" borderId="0" xfId="100" applyNumberFormat="1" applyFont="1" applyFill="1"/>
    <xf numFmtId="0" fontId="217" fillId="0" borderId="0" xfId="100" applyFont="1" applyFill="1"/>
    <xf numFmtId="0" fontId="218" fillId="0" borderId="0" xfId="100" applyFont="1" applyFill="1"/>
    <xf numFmtId="3" fontId="215" fillId="0" borderId="10" xfId="100" applyNumberFormat="1" applyFont="1" applyBorder="1"/>
    <xf numFmtId="49" fontId="215" fillId="0" borderId="16" xfId="100" applyNumberFormat="1" applyFont="1" applyBorder="1"/>
    <xf numFmtId="49" fontId="215" fillId="0" borderId="38" xfId="100" applyNumberFormat="1" applyFont="1" applyBorder="1"/>
    <xf numFmtId="49" fontId="196" fillId="0" borderId="16" xfId="100" applyNumberFormat="1" applyFont="1" applyBorder="1"/>
    <xf numFmtId="49" fontId="196" fillId="0" borderId="38" xfId="100" applyNumberFormat="1" applyFont="1" applyBorder="1"/>
    <xf numFmtId="3" fontId="196" fillId="0" borderId="10" xfId="100" applyNumberFormat="1" applyFont="1" applyBorder="1"/>
    <xf numFmtId="3" fontId="201" fillId="0" borderId="10" xfId="100" applyNumberFormat="1" applyFont="1" applyBorder="1"/>
    <xf numFmtId="49" fontId="199" fillId="0" borderId="0" xfId="100" applyNumberFormat="1" applyFont="1"/>
    <xf numFmtId="3" fontId="143" fillId="0" borderId="0" xfId="100" applyNumberFormat="1" applyFont="1" applyFill="1"/>
    <xf numFmtId="3" fontId="199" fillId="0" borderId="0" xfId="100" applyNumberFormat="1" applyFont="1" applyFill="1"/>
    <xf numFmtId="0" fontId="1" fillId="0" borderId="0" xfId="100" applyBorder="1"/>
    <xf numFmtId="3" fontId="201" fillId="0" borderId="10" xfId="100" applyNumberFormat="1" applyFont="1" applyBorder="1" applyAlignment="1">
      <alignment horizontal="center" wrapText="1"/>
    </xf>
    <xf numFmtId="49" fontId="196" fillId="0" borderId="23" xfId="100" applyNumberFormat="1" applyFont="1" applyBorder="1"/>
    <xf numFmtId="3" fontId="196" fillId="0" borderId="23" xfId="100" applyNumberFormat="1" applyFont="1" applyBorder="1"/>
    <xf numFmtId="0" fontId="201" fillId="0" borderId="10" xfId="100" applyFont="1" applyBorder="1"/>
    <xf numFmtId="49" fontId="201" fillId="0" borderId="10" xfId="100" applyNumberFormat="1" applyFont="1" applyFill="1" applyBorder="1"/>
    <xf numFmtId="0" fontId="201" fillId="0" borderId="0" xfId="100" applyFont="1" applyBorder="1"/>
    <xf numFmtId="0" fontId="200" fillId="0" borderId="0" xfId="100" applyFont="1" applyBorder="1"/>
    <xf numFmtId="0" fontId="199" fillId="0" borderId="0" xfId="100" applyFont="1"/>
    <xf numFmtId="4" fontId="199" fillId="0" borderId="0" xfId="100" applyNumberFormat="1" applyFont="1"/>
    <xf numFmtId="0" fontId="14" fillId="0" borderId="0" xfId="100" applyFont="1" applyBorder="1"/>
    <xf numFmtId="4" fontId="14" fillId="0" borderId="0" xfId="100" applyNumberFormat="1" applyFont="1" applyBorder="1" applyAlignment="1">
      <alignment horizontal="right"/>
    </xf>
    <xf numFmtId="0" fontId="14" fillId="0" borderId="0" xfId="100" applyFont="1"/>
    <xf numFmtId="4" fontId="19" fillId="0" borderId="0" xfId="100" applyNumberFormat="1" applyFont="1"/>
    <xf numFmtId="0" fontId="19" fillId="0" borderId="0" xfId="100" applyFont="1"/>
    <xf numFmtId="4" fontId="14" fillId="0" borderId="0" xfId="100" applyNumberFormat="1" applyFont="1" applyAlignment="1">
      <alignment horizontal="right"/>
    </xf>
    <xf numFmtId="0" fontId="14" fillId="0" borderId="46" xfId="100" applyFont="1" applyBorder="1"/>
    <xf numFmtId="4" fontId="14" fillId="0" borderId="50" xfId="100" applyNumberFormat="1" applyFont="1" applyBorder="1" applyAlignment="1">
      <alignment horizontal="center"/>
    </xf>
    <xf numFmtId="0" fontId="19" fillId="0" borderId="27" xfId="100" applyFont="1" applyFill="1" applyBorder="1"/>
    <xf numFmtId="4" fontId="19" fillId="0" borderId="28" xfId="101" applyNumberFormat="1" applyFont="1" applyFill="1" applyBorder="1" applyAlignment="1"/>
    <xf numFmtId="4" fontId="19" fillId="0" borderId="28" xfId="100" applyNumberFormat="1" applyFont="1" applyFill="1" applyBorder="1"/>
    <xf numFmtId="0" fontId="19" fillId="0" borderId="27" xfId="100" applyFont="1" applyBorder="1"/>
    <xf numFmtId="4" fontId="19" fillId="0" borderId="28" xfId="100" applyNumberFormat="1" applyFont="1" applyBorder="1"/>
    <xf numFmtId="4" fontId="1" fillId="0" borderId="0" xfId="100" applyNumberFormat="1"/>
    <xf numFmtId="0" fontId="14" fillId="0" borderId="27" xfId="100" applyFont="1" applyBorder="1"/>
    <xf numFmtId="4" fontId="14" fillId="0" borderId="28" xfId="100" applyNumberFormat="1" applyFont="1" applyBorder="1" applyAlignment="1">
      <alignment horizontal="right"/>
    </xf>
    <xf numFmtId="0" fontId="19" fillId="0" borderId="31" xfId="100" applyFont="1" applyBorder="1"/>
    <xf numFmtId="4" fontId="19" fillId="0" borderId="29" xfId="100" applyNumberFormat="1" applyFont="1" applyBorder="1"/>
    <xf numFmtId="0" fontId="14" fillId="0" borderId="18" xfId="100" applyFont="1" applyBorder="1"/>
    <xf numFmtId="4" fontId="14" fillId="0" borderId="17" xfId="100" applyNumberFormat="1" applyFont="1" applyBorder="1"/>
    <xf numFmtId="49" fontId="201" fillId="0" borderId="0" xfId="100" applyNumberFormat="1" applyFont="1" applyBorder="1"/>
    <xf numFmtId="49" fontId="196" fillId="0" borderId="0" xfId="100" applyNumberFormat="1" applyFont="1" applyBorder="1"/>
    <xf numFmtId="3" fontId="213" fillId="0" borderId="0" xfId="100" applyNumberFormat="1" applyFont="1" applyFill="1" applyBorder="1"/>
    <xf numFmtId="3" fontId="201" fillId="0" borderId="0" xfId="100" applyNumberFormat="1" applyFont="1" applyFill="1" applyBorder="1"/>
    <xf numFmtId="3" fontId="14" fillId="0" borderId="0" xfId="100" applyNumberFormat="1" applyFont="1" applyFill="1" applyBorder="1"/>
    <xf numFmtId="3" fontId="14" fillId="0" borderId="0" xfId="100" applyNumberFormat="1" applyFont="1" applyBorder="1"/>
    <xf numFmtId="0" fontId="201" fillId="0" borderId="0" xfId="100" applyNumberFormat="1" applyFont="1" applyBorder="1"/>
    <xf numFmtId="49" fontId="201" fillId="36" borderId="10" xfId="100" applyNumberFormat="1" applyFont="1" applyFill="1" applyBorder="1"/>
    <xf numFmtId="49" fontId="196" fillId="36" borderId="10" xfId="100" applyNumberFormat="1" applyFont="1" applyFill="1" applyBorder="1"/>
    <xf numFmtId="3" fontId="213" fillId="36" borderId="10" xfId="100" applyNumberFormat="1" applyFont="1" applyFill="1" applyBorder="1"/>
    <xf numFmtId="3" fontId="201" fillId="36" borderId="10" xfId="100" applyNumberFormat="1" applyFont="1" applyFill="1" applyBorder="1"/>
    <xf numFmtId="3" fontId="14" fillId="36" borderId="10" xfId="100" applyNumberFormat="1" applyFont="1" applyFill="1" applyBorder="1"/>
    <xf numFmtId="49" fontId="197" fillId="0" borderId="55" xfId="100" applyNumberFormat="1" applyFont="1" applyBorder="1" applyAlignment="1">
      <alignment horizontal="center" vertical="center"/>
    </xf>
    <xf numFmtId="49" fontId="197" fillId="0" borderId="0" xfId="100" applyNumberFormat="1" applyFont="1" applyBorder="1" applyAlignment="1">
      <alignment horizontal="center" vertical="center"/>
    </xf>
    <xf numFmtId="0" fontId="22" fillId="0" borderId="0" xfId="52" applyFont="1" applyBorder="1" applyAlignment="1">
      <alignment horizontal="right"/>
    </xf>
    <xf numFmtId="0" fontId="22" fillId="0" borderId="55" xfId="52" applyFont="1" applyBorder="1" applyAlignment="1">
      <alignment horizontal="right"/>
    </xf>
    <xf numFmtId="3" fontId="100" fillId="0" borderId="10" xfId="100" applyNumberFormat="1" applyFont="1" applyFill="1" applyBorder="1"/>
    <xf numFmtId="3" fontId="194" fillId="0" borderId="10" xfId="100" applyNumberFormat="1" applyFont="1" applyFill="1" applyBorder="1"/>
    <xf numFmtId="3" fontId="22" fillId="0" borderId="10" xfId="100" applyNumberFormat="1" applyFont="1" applyFill="1" applyBorder="1"/>
    <xf numFmtId="3" fontId="51" fillId="0" borderId="10" xfId="100" applyNumberFormat="1" applyFont="1" applyFill="1" applyBorder="1"/>
    <xf numFmtId="3" fontId="198" fillId="0" borderId="10" xfId="100" applyNumberFormat="1" applyFont="1" applyBorder="1"/>
    <xf numFmtId="3" fontId="100" fillId="0" borderId="16" xfId="100" applyNumberFormat="1" applyFont="1" applyFill="1" applyBorder="1"/>
    <xf numFmtId="3" fontId="194" fillId="0" borderId="10" xfId="100" applyNumberFormat="1" applyFont="1" applyBorder="1"/>
    <xf numFmtId="3" fontId="22" fillId="0" borderId="16" xfId="100" applyNumberFormat="1" applyFont="1" applyFill="1" applyBorder="1"/>
    <xf numFmtId="3" fontId="197" fillId="0" borderId="10" xfId="100" applyNumberFormat="1" applyFont="1" applyBorder="1"/>
    <xf numFmtId="3" fontId="51" fillId="0" borderId="16" xfId="100" applyNumberFormat="1" applyFont="1" applyFill="1" applyBorder="1"/>
    <xf numFmtId="3" fontId="197" fillId="0" borderId="23" xfId="100" applyNumberFormat="1" applyFont="1" applyBorder="1"/>
    <xf numFmtId="3" fontId="51" fillId="0" borderId="23" xfId="100" applyNumberFormat="1" applyFont="1" applyFill="1" applyBorder="1"/>
    <xf numFmtId="3" fontId="51" fillId="0" borderId="40" xfId="100" applyNumberFormat="1" applyFont="1" applyFill="1" applyBorder="1"/>
    <xf numFmtId="3" fontId="194" fillId="0" borderId="16" xfId="100" applyNumberFormat="1" applyFont="1" applyFill="1" applyBorder="1"/>
    <xf numFmtId="3" fontId="103" fillId="0" borderId="16" xfId="50" applyNumberFormat="1" applyFont="1" applyFill="1" applyBorder="1" applyAlignment="1">
      <alignment horizontal="center" vertical="top"/>
    </xf>
    <xf numFmtId="3" fontId="136" fillId="0" borderId="27" xfId="50" applyNumberFormat="1" applyFont="1" applyFill="1" applyBorder="1" applyAlignment="1">
      <alignment horizontal="center" vertical="top"/>
    </xf>
    <xf numFmtId="3" fontId="136" fillId="0" borderId="10" xfId="50" applyNumberFormat="1" applyFont="1" applyFill="1" applyBorder="1" applyAlignment="1">
      <alignment horizontal="center" vertical="top"/>
    </xf>
    <xf numFmtId="3" fontId="136" fillId="0" borderId="38" xfId="50" applyNumberFormat="1" applyFont="1" applyFill="1" applyBorder="1" applyAlignment="1">
      <alignment horizontal="center" vertical="top"/>
    </xf>
    <xf numFmtId="3" fontId="136" fillId="0" borderId="16" xfId="50" applyNumberFormat="1" applyFont="1" applyFill="1" applyBorder="1" applyAlignment="1">
      <alignment horizontal="center" vertical="top"/>
    </xf>
    <xf numFmtId="0" fontId="163" fillId="0" borderId="10" xfId="50" applyFont="1" applyBorder="1" applyAlignment="1">
      <alignment horizontal="center" vertical="top"/>
    </xf>
    <xf numFmtId="4" fontId="163" fillId="0" borderId="28" xfId="50" applyNumberFormat="1" applyFont="1" applyBorder="1" applyAlignment="1">
      <alignment horizontal="center" vertical="top"/>
    </xf>
    <xf numFmtId="3" fontId="136" fillId="0" borderId="53" xfId="50" applyNumberFormat="1" applyFont="1" applyFill="1" applyBorder="1" applyAlignment="1">
      <alignment horizontal="center" vertical="top"/>
    </xf>
    <xf numFmtId="0" fontId="23" fillId="0" borderId="0" xfId="50" applyFont="1" applyAlignment="1">
      <alignment horizontal="center" vertical="top"/>
    </xf>
    <xf numFmtId="3" fontId="136" fillId="0" borderId="10" xfId="50" applyNumberFormat="1" applyFont="1" applyFill="1" applyBorder="1" applyAlignment="1"/>
    <xf numFmtId="4" fontId="103" fillId="0" borderId="28" xfId="0" applyNumberFormat="1" applyFont="1" applyFill="1" applyBorder="1" applyAlignment="1">
      <alignment horizontal="right" vertical="center"/>
    </xf>
    <xf numFmtId="4" fontId="103" fillId="0" borderId="29" xfId="0" applyNumberFormat="1" applyFont="1" applyFill="1" applyBorder="1" applyAlignment="1">
      <alignment horizontal="right" vertical="center"/>
    </xf>
    <xf numFmtId="3" fontId="170" fillId="0" borderId="59" xfId="99" applyNumberFormat="1" applyFont="1" applyFill="1" applyBorder="1" applyAlignment="1">
      <alignment horizontal="left" vertical="center" wrapText="1"/>
    </xf>
    <xf numFmtId="3" fontId="170" fillId="0" borderId="55" xfId="99" applyNumberFormat="1" applyFont="1" applyFill="1" applyBorder="1" applyAlignment="1">
      <alignment horizontal="left" vertical="center" wrapText="1"/>
    </xf>
    <xf numFmtId="3" fontId="61" fillId="0" borderId="0" xfId="98" applyNumberFormat="1" applyFont="1"/>
    <xf numFmtId="3" fontId="92" fillId="0" borderId="0" xfId="98" applyNumberFormat="1" applyFont="1"/>
    <xf numFmtId="3" fontId="170" fillId="0" borderId="28" xfId="99" applyNumberFormat="1" applyFont="1" applyBorder="1"/>
    <xf numFmtId="3" fontId="170" fillId="0" borderId="35" xfId="98" applyNumberFormat="1" applyFont="1" applyBorder="1"/>
    <xf numFmtId="3" fontId="172" fillId="0" borderId="50" xfId="99" applyNumberFormat="1" applyFont="1" applyBorder="1"/>
    <xf numFmtId="3" fontId="170" fillId="0" borderId="36" xfId="98" applyNumberFormat="1" applyFont="1" applyBorder="1"/>
    <xf numFmtId="3" fontId="170" fillId="0" borderId="24" xfId="99" applyNumberFormat="1" applyFont="1" applyFill="1" applyBorder="1" applyAlignment="1">
      <alignment horizontal="center" vertical="center" wrapText="1"/>
    </xf>
    <xf numFmtId="3" fontId="172" fillId="0" borderId="30" xfId="99" applyNumberFormat="1" applyFont="1" applyBorder="1"/>
    <xf numFmtId="3" fontId="170" fillId="0" borderId="43" xfId="99" applyNumberFormat="1" applyFont="1" applyBorder="1"/>
    <xf numFmtId="3" fontId="170" fillId="0" borderId="35" xfId="99" applyNumberFormat="1" applyFont="1" applyBorder="1"/>
    <xf numFmtId="3" fontId="170" fillId="0" borderId="36" xfId="99" applyNumberFormat="1" applyFont="1" applyBorder="1"/>
    <xf numFmtId="3" fontId="172" fillId="0" borderId="66" xfId="99" applyNumberFormat="1" applyFont="1" applyFill="1" applyBorder="1" applyAlignment="1">
      <alignment horizontal="left" vertical="center" wrapText="1"/>
    </xf>
    <xf numFmtId="3" fontId="172" fillId="0" borderId="41" xfId="99" applyNumberFormat="1" applyFont="1" applyFill="1" applyBorder="1" applyAlignment="1">
      <alignment horizontal="left" vertical="center" wrapText="1"/>
    </xf>
    <xf numFmtId="0" fontId="92" fillId="0" borderId="0" xfId="68" applyFont="1" applyFill="1" applyBorder="1" applyAlignment="1">
      <alignment horizontal="center" vertical="center"/>
    </xf>
    <xf numFmtId="0" fontId="156" fillId="0" borderId="10" xfId="68" applyFont="1" applyFill="1" applyBorder="1" applyAlignment="1">
      <alignment horizontal="center" vertical="center"/>
    </xf>
    <xf numFmtId="0" fontId="163" fillId="0" borderId="10" xfId="68" applyFont="1" applyFill="1" applyBorder="1" applyAlignment="1">
      <alignment horizontal="center" vertical="center" wrapText="1"/>
    </xf>
    <xf numFmtId="0" fontId="163" fillId="0" borderId="10" xfId="68" applyFont="1" applyFill="1" applyBorder="1" applyAlignment="1">
      <alignment horizontal="justify" vertical="center" wrapText="1"/>
    </xf>
    <xf numFmtId="3" fontId="57" fillId="30" borderId="0" xfId="91" applyNumberFormat="1" applyFont="1" applyFill="1" applyBorder="1"/>
    <xf numFmtId="0" fontId="109" fillId="0" borderId="0" xfId="47" applyFont="1" applyAlignment="1"/>
    <xf numFmtId="0" fontId="108" fillId="0" borderId="0" xfId="47" applyFont="1"/>
    <xf numFmtId="0" fontId="108" fillId="0" borderId="0" xfId="47" applyFont="1" applyFill="1" applyBorder="1"/>
    <xf numFmtId="3" fontId="108" fillId="0" borderId="0" xfId="47" applyNumberFormat="1" applyFont="1" applyFill="1" applyBorder="1"/>
    <xf numFmtId="0" fontId="108" fillId="0" borderId="0" xfId="65" applyFont="1" applyBorder="1" applyAlignment="1">
      <alignment horizontal="right"/>
    </xf>
    <xf numFmtId="0" fontId="109" fillId="0" borderId="0" xfId="47" applyFont="1" applyFill="1" applyBorder="1" applyAlignment="1"/>
    <xf numFmtId="0" fontId="108" fillId="0" borderId="0" xfId="65" applyFont="1" applyBorder="1" applyAlignment="1">
      <alignment horizontal="right" vertical="center"/>
    </xf>
    <xf numFmtId="0" fontId="109" fillId="0" borderId="0" xfId="47" applyFont="1" applyFill="1" applyAlignment="1">
      <alignment vertical="center"/>
    </xf>
    <xf numFmtId="0" fontId="109" fillId="0" borderId="0" xfId="47" applyFont="1" applyFill="1" applyBorder="1" applyAlignment="1">
      <alignment vertical="center"/>
    </xf>
    <xf numFmtId="0" fontId="108" fillId="0" borderId="27" xfId="47" applyFont="1" applyFill="1" applyBorder="1" applyAlignment="1">
      <alignment vertical="center" wrapText="1"/>
    </xf>
    <xf numFmtId="3" fontId="108" fillId="0" borderId="10" xfId="47" applyNumberFormat="1" applyFont="1" applyFill="1" applyBorder="1" applyAlignment="1">
      <alignment vertical="center"/>
    </xf>
    <xf numFmtId="3" fontId="109" fillId="0" borderId="21" xfId="47" applyNumberFormat="1" applyFont="1" applyFill="1" applyBorder="1" applyAlignment="1">
      <alignment vertical="center"/>
    </xf>
    <xf numFmtId="3" fontId="109" fillId="0" borderId="0" xfId="47" applyNumberFormat="1" applyFont="1" applyFill="1" applyBorder="1" applyAlignment="1">
      <alignment vertical="center"/>
    </xf>
    <xf numFmtId="0" fontId="108" fillId="0" borderId="27" xfId="47" applyFont="1" applyFill="1" applyBorder="1" applyAlignment="1">
      <alignment vertical="center"/>
    </xf>
    <xf numFmtId="0" fontId="109" fillId="0" borderId="34" xfId="47" applyFont="1" applyFill="1" applyBorder="1" applyAlignment="1">
      <alignment vertical="center"/>
    </xf>
    <xf numFmtId="3" fontId="109" fillId="0" borderId="35" xfId="47" applyNumberFormat="1" applyFont="1" applyFill="1" applyBorder="1" applyAlignment="1">
      <alignment vertical="center"/>
    </xf>
    <xf numFmtId="3" fontId="109" fillId="0" borderId="92" xfId="47" applyNumberFormat="1" applyFont="1" applyFill="1" applyBorder="1" applyAlignment="1">
      <alignment vertical="center"/>
    </xf>
    <xf numFmtId="0" fontId="108" fillId="0" borderId="0" xfId="47" applyFont="1" applyFill="1" applyAlignment="1">
      <alignment vertical="center"/>
    </xf>
    <xf numFmtId="0" fontId="108" fillId="0" borderId="0" xfId="47" applyFont="1" applyAlignment="1">
      <alignment vertical="center"/>
    </xf>
    <xf numFmtId="0" fontId="109" fillId="0" borderId="18" xfId="47" applyFont="1" applyFill="1" applyBorder="1" applyAlignment="1">
      <alignment vertical="center"/>
    </xf>
    <xf numFmtId="3" fontId="109" fillId="0" borderId="19" xfId="47" applyNumberFormat="1" applyFont="1" applyFill="1" applyBorder="1" applyAlignment="1">
      <alignment horizontal="center" vertical="center" wrapText="1"/>
    </xf>
    <xf numFmtId="0" fontId="109" fillId="0" borderId="22" xfId="47" applyFont="1" applyFill="1" applyBorder="1" applyAlignment="1">
      <alignment horizontal="right" vertical="center"/>
    </xf>
    <xf numFmtId="0" fontId="108" fillId="0" borderId="31" xfId="47" applyFont="1" applyFill="1" applyBorder="1" applyAlignment="1">
      <alignment vertical="center"/>
    </xf>
    <xf numFmtId="3" fontId="108" fillId="0" borderId="24" xfId="47" applyNumberFormat="1" applyFont="1" applyFill="1" applyBorder="1" applyAlignment="1">
      <alignment vertical="center"/>
    </xf>
    <xf numFmtId="3" fontId="109" fillId="0" borderId="93" xfId="47" applyNumberFormat="1" applyFont="1" applyFill="1" applyBorder="1" applyAlignment="1">
      <alignment vertical="center"/>
    </xf>
    <xf numFmtId="3" fontId="108" fillId="0" borderId="33" xfId="47" applyNumberFormat="1" applyFont="1" applyFill="1" applyBorder="1" applyAlignment="1">
      <alignment vertical="center"/>
    </xf>
    <xf numFmtId="3" fontId="109" fillId="0" borderId="94" xfId="47" applyNumberFormat="1" applyFont="1" applyFill="1" applyBorder="1" applyAlignment="1">
      <alignment vertical="center"/>
    </xf>
    <xf numFmtId="3" fontId="108" fillId="0" borderId="23" xfId="47" applyNumberFormat="1" applyFont="1" applyFill="1" applyBorder="1" applyAlignment="1">
      <alignment vertical="center"/>
    </xf>
    <xf numFmtId="3" fontId="109" fillId="0" borderId="74" xfId="47" applyNumberFormat="1" applyFont="1" applyFill="1" applyBorder="1" applyAlignment="1">
      <alignment vertical="center"/>
    </xf>
    <xf numFmtId="3" fontId="108" fillId="0" borderId="0" xfId="47" applyNumberFormat="1" applyFont="1" applyFill="1" applyAlignment="1">
      <alignment vertical="center"/>
    </xf>
    <xf numFmtId="3" fontId="109" fillId="0" borderId="19" xfId="47" applyNumberFormat="1" applyFont="1" applyFill="1" applyBorder="1" applyAlignment="1">
      <alignment vertical="center"/>
    </xf>
    <xf numFmtId="3" fontId="109" fillId="0" borderId="22" xfId="47" applyNumberFormat="1" applyFont="1" applyFill="1" applyBorder="1" applyAlignment="1">
      <alignment vertical="center"/>
    </xf>
    <xf numFmtId="0" fontId="109" fillId="0" borderId="45" xfId="47" applyFont="1" applyFill="1" applyBorder="1" applyAlignment="1">
      <alignment vertical="center"/>
    </xf>
    <xf numFmtId="3" fontId="109" fillId="0" borderId="45" xfId="47" applyNumberFormat="1" applyFont="1" applyFill="1" applyBorder="1" applyAlignment="1">
      <alignment vertical="center"/>
    </xf>
    <xf numFmtId="0" fontId="108" fillId="0" borderId="0" xfId="47" applyFont="1" applyFill="1"/>
    <xf numFmtId="0" fontId="106" fillId="0" borderId="34" xfId="68" applyFont="1" applyBorder="1" applyAlignment="1">
      <alignment horizontal="left" vertical="center" wrapText="1"/>
    </xf>
    <xf numFmtId="3" fontId="108" fillId="0" borderId="0" xfId="47" applyNumberFormat="1" applyFont="1" applyFill="1" applyBorder="1" applyAlignment="1">
      <alignment vertical="center"/>
    </xf>
    <xf numFmtId="0" fontId="109" fillId="0" borderId="0" xfId="68" applyFont="1" applyFill="1" applyBorder="1" applyAlignment="1">
      <alignment horizontal="left" wrapText="1"/>
    </xf>
    <xf numFmtId="0" fontId="106" fillId="0" borderId="95" xfId="68" applyFont="1" applyBorder="1" applyAlignment="1">
      <alignment horizontal="left" vertical="center" wrapText="1"/>
    </xf>
    <xf numFmtId="3" fontId="106" fillId="0" borderId="44" xfId="68" applyNumberFormat="1" applyFont="1" applyBorder="1" applyAlignment="1">
      <alignment horizontal="right" vertical="center" wrapText="1"/>
    </xf>
    <xf numFmtId="3" fontId="106" fillId="0" borderId="92" xfId="68" applyNumberFormat="1" applyFont="1" applyBorder="1" applyAlignment="1">
      <alignment horizontal="right" vertical="center" wrapText="1"/>
    </xf>
    <xf numFmtId="0" fontId="106" fillId="0" borderId="0" xfId="68" applyFont="1" applyBorder="1" applyAlignment="1">
      <alignment horizontal="left" vertical="center" wrapText="1"/>
    </xf>
    <xf numFmtId="0" fontId="106" fillId="0" borderId="56" xfId="68" applyFont="1" applyBorder="1" applyAlignment="1">
      <alignment horizontal="left" vertical="center" wrapText="1"/>
    </xf>
    <xf numFmtId="3" fontId="108" fillId="0" borderId="48" xfId="47" applyNumberFormat="1" applyFont="1" applyFill="1" applyBorder="1" applyAlignment="1">
      <alignment vertical="center"/>
    </xf>
    <xf numFmtId="3" fontId="109" fillId="0" borderId="0" xfId="47" applyNumberFormat="1" applyFont="1" applyFill="1" applyBorder="1"/>
    <xf numFmtId="0" fontId="109" fillId="0" borderId="17" xfId="47" applyFont="1" applyFill="1" applyBorder="1" applyAlignment="1">
      <alignment horizontal="right" vertical="center"/>
    </xf>
    <xf numFmtId="3" fontId="109" fillId="0" borderId="30" xfId="47" applyNumberFormat="1" applyFont="1" applyFill="1" applyBorder="1" applyAlignment="1">
      <alignment vertical="center"/>
    </xf>
    <xf numFmtId="3" fontId="109" fillId="0" borderId="75" xfId="47" applyNumberFormat="1" applyFont="1" applyFill="1" applyBorder="1" applyAlignment="1">
      <alignment vertical="center"/>
    </xf>
    <xf numFmtId="3" fontId="109" fillId="0" borderId="28" xfId="47" applyNumberFormat="1" applyFont="1" applyFill="1" applyBorder="1" applyAlignment="1">
      <alignment vertical="center"/>
    </xf>
    <xf numFmtId="3" fontId="106" fillId="0" borderId="36" xfId="68" applyNumberFormat="1" applyFont="1" applyBorder="1" applyAlignment="1">
      <alignment horizontal="right" vertical="center" wrapText="1"/>
    </xf>
    <xf numFmtId="0" fontId="109" fillId="0" borderId="0" xfId="47" applyFont="1" applyFill="1" applyBorder="1"/>
    <xf numFmtId="0" fontId="109" fillId="0" borderId="0" xfId="47" applyFont="1" applyFill="1"/>
    <xf numFmtId="0" fontId="109" fillId="0" borderId="0" xfId="47" applyFont="1"/>
    <xf numFmtId="0" fontId="108" fillId="0" borderId="0" xfId="47" applyFont="1" applyBorder="1"/>
    <xf numFmtId="3" fontId="108" fillId="0" borderId="0" xfId="47" applyNumberFormat="1" applyFont="1" applyBorder="1"/>
    <xf numFmtId="3" fontId="108" fillId="0" borderId="0" xfId="47" applyNumberFormat="1" applyFont="1"/>
    <xf numFmtId="3" fontId="108" fillId="0" borderId="35" xfId="47" applyNumberFormat="1" applyFont="1" applyFill="1" applyBorder="1" applyAlignment="1">
      <alignment horizontal="left" vertical="center"/>
    </xf>
    <xf numFmtId="0" fontId="108" fillId="0" borderId="0" xfId="47" applyFont="1" applyFill="1" applyAlignment="1">
      <alignment horizontal="left" vertical="center"/>
    </xf>
    <xf numFmtId="0" fontId="108" fillId="0" borderId="0" xfId="47" applyFont="1" applyAlignment="1">
      <alignment horizontal="left" vertical="center"/>
    </xf>
    <xf numFmtId="3" fontId="109" fillId="0" borderId="35" xfId="47" applyNumberFormat="1" applyFont="1" applyFill="1" applyBorder="1" applyAlignment="1">
      <alignment horizontal="right" vertical="center"/>
    </xf>
    <xf numFmtId="3" fontId="108" fillId="0" borderId="35" xfId="47" applyNumberFormat="1" applyFont="1" applyFill="1" applyBorder="1" applyAlignment="1">
      <alignment horizontal="right" vertical="center"/>
    </xf>
    <xf numFmtId="3" fontId="109" fillId="0" borderId="96" xfId="47" applyNumberFormat="1" applyFont="1" applyFill="1" applyBorder="1" applyAlignment="1">
      <alignment vertical="center"/>
    </xf>
    <xf numFmtId="3" fontId="109" fillId="0" borderId="92" xfId="68" applyNumberFormat="1" applyFont="1" applyFill="1" applyBorder="1" applyAlignment="1">
      <alignment horizontal="right" vertical="center"/>
    </xf>
    <xf numFmtId="3" fontId="57" fillId="0" borderId="10" xfId="0" applyNumberFormat="1" applyFont="1" applyFill="1" applyBorder="1" applyAlignment="1">
      <alignment horizontal="right"/>
    </xf>
    <xf numFmtId="4" fontId="93" fillId="0" borderId="0" xfId="0" applyNumberFormat="1" applyFont="1" applyFill="1" applyBorder="1" applyAlignment="1">
      <alignment horizontal="right" vertical="center"/>
    </xf>
    <xf numFmtId="3" fontId="128" fillId="0" borderId="0" xfId="0" applyNumberFormat="1" applyFont="1" applyFill="1" applyBorder="1" applyAlignment="1">
      <alignment horizontal="right"/>
    </xf>
    <xf numFmtId="0" fontId="18" fillId="0" borderId="0" xfId="0" applyFont="1" applyBorder="1" applyAlignment="1">
      <alignment horizontal="center"/>
    </xf>
    <xf numFmtId="0" fontId="102" fillId="0" borderId="0" xfId="0" applyFont="1" applyBorder="1"/>
    <xf numFmtId="3" fontId="56" fillId="0" borderId="0" xfId="68" applyNumberFormat="1" applyFont="1" applyFill="1" applyBorder="1" applyAlignment="1">
      <alignment vertical="center"/>
    </xf>
    <xf numFmtId="0" fontId="140" fillId="0" borderId="0" xfId="0" applyFont="1" applyBorder="1" applyAlignment="1">
      <alignment horizontal="center" vertical="center"/>
    </xf>
    <xf numFmtId="0" fontId="108" fillId="0" borderId="0" xfId="0" applyFont="1" applyBorder="1"/>
    <xf numFmtId="0" fontId="141" fillId="0" borderId="0" xfId="0" applyFont="1" applyBorder="1" applyAlignment="1">
      <alignment horizontal="center" vertical="center"/>
    </xf>
    <xf numFmtId="0" fontId="109" fillId="0" borderId="0" xfId="0" applyFont="1" applyBorder="1"/>
    <xf numFmtId="3" fontId="153" fillId="0" borderId="0" xfId="0" applyNumberFormat="1" applyFont="1" applyBorder="1"/>
    <xf numFmtId="0" fontId="161" fillId="0" borderId="0" xfId="0" applyFont="1" applyBorder="1"/>
    <xf numFmtId="0" fontId="161" fillId="0" borderId="0" xfId="0" applyFont="1" applyBorder="1" applyAlignment="1">
      <alignment horizontal="left"/>
    </xf>
    <xf numFmtId="3" fontId="152" fillId="0" borderId="0" xfId="0" applyNumberFormat="1" applyFont="1" applyBorder="1"/>
    <xf numFmtId="0" fontId="140" fillId="35" borderId="0" xfId="0" applyFont="1" applyFill="1" applyBorder="1" applyAlignment="1">
      <alignment horizontal="center" vertical="center"/>
    </xf>
    <xf numFmtId="0" fontId="108" fillId="35" borderId="0" xfId="0" applyFont="1" applyFill="1" applyBorder="1"/>
    <xf numFmtId="0" fontId="56" fillId="0" borderId="0" xfId="0" applyFont="1" applyBorder="1"/>
    <xf numFmtId="3" fontId="140" fillId="0" borderId="0" xfId="0" applyNumberFormat="1" applyFont="1" applyBorder="1" applyAlignment="1">
      <alignment horizontal="center" vertical="center"/>
    </xf>
    <xf numFmtId="3" fontId="108" fillId="0" borderId="0" xfId="0" applyNumberFormat="1" applyFont="1" applyBorder="1"/>
    <xf numFmtId="0" fontId="57" fillId="0" borderId="16" xfId="47" applyFont="1" applyBorder="1" applyAlignment="1">
      <alignment horizontal="center" vertical="center" wrapText="1"/>
    </xf>
    <xf numFmtId="2" fontId="67" fillId="0" borderId="16" xfId="47" applyNumberFormat="1" applyFont="1" applyFill="1" applyBorder="1" applyAlignment="1">
      <alignment vertical="center"/>
    </xf>
    <xf numFmtId="2" fontId="67" fillId="0" borderId="16" xfId="47" applyNumberFormat="1" applyFont="1" applyBorder="1" applyAlignment="1">
      <alignment horizontal="right" vertical="center"/>
    </xf>
    <xf numFmtId="2" fontId="57" fillId="0" borderId="16" xfId="59" applyNumberFormat="1" applyFont="1" applyBorder="1" applyAlignment="1">
      <alignment horizontal="right" vertical="center"/>
    </xf>
    <xf numFmtId="0" fontId="57" fillId="0" borderId="0" xfId="59" applyFont="1" applyBorder="1" applyAlignment="1">
      <alignment horizontal="center" vertical="center" wrapText="1"/>
    </xf>
    <xf numFmtId="2" fontId="67" fillId="0" borderId="0" xfId="47" applyNumberFormat="1" applyFont="1" applyBorder="1" applyAlignment="1">
      <alignment vertical="center"/>
    </xf>
    <xf numFmtId="2" fontId="57" fillId="0" borderId="0" xfId="59" applyNumberFormat="1" applyFont="1" applyBorder="1" applyAlignment="1">
      <alignment vertical="center"/>
    </xf>
    <xf numFmtId="0" fontId="157" fillId="0" borderId="0" xfId="0" applyFont="1" applyAlignment="1">
      <alignment horizontal="center" wrapText="1"/>
    </xf>
    <xf numFmtId="0" fontId="158" fillId="0" borderId="0" xfId="0" applyFont="1" applyAlignment="1">
      <alignment horizontal="center" wrapText="1"/>
    </xf>
    <xf numFmtId="0" fontId="92" fillId="0" borderId="0" xfId="68" applyFont="1" applyFill="1" applyBorder="1" applyAlignment="1">
      <alignment horizontal="center" vertical="center"/>
    </xf>
    <xf numFmtId="0" fontId="157" fillId="0" borderId="0" xfId="0" applyFont="1" applyAlignment="1">
      <alignment horizontal="center" vertical="center" wrapText="1"/>
    </xf>
    <xf numFmtId="0" fontId="167" fillId="0" borderId="46" xfId="46" applyFont="1" applyBorder="1" applyAlignment="1">
      <alignment horizontal="center" wrapText="1"/>
    </xf>
    <xf numFmtId="0" fontId="182" fillId="0" borderId="43" xfId="0" applyFont="1" applyBorder="1" applyAlignment="1">
      <alignment horizontal="center" wrapText="1"/>
    </xf>
    <xf numFmtId="0" fontId="169" fillId="0" borderId="43" xfId="0" applyFont="1" applyBorder="1" applyAlignment="1">
      <alignment horizontal="center" wrapText="1"/>
    </xf>
    <xf numFmtId="0" fontId="169" fillId="0" borderId="50" xfId="0" applyFont="1" applyBorder="1" applyAlignment="1">
      <alignment horizontal="center" wrapText="1"/>
    </xf>
    <xf numFmtId="0" fontId="169" fillId="0" borderId="43" xfId="0" applyFont="1" applyBorder="1" applyAlignment="1">
      <alignment wrapText="1"/>
    </xf>
    <xf numFmtId="0" fontId="169" fillId="0" borderId="50" xfId="0" applyFont="1" applyBorder="1" applyAlignment="1">
      <alignment wrapText="1"/>
    </xf>
    <xf numFmtId="0" fontId="139" fillId="0" borderId="0" xfId="0" applyFont="1" applyAlignment="1">
      <alignment horizontal="center" wrapText="1"/>
    </xf>
    <xf numFmtId="0" fontId="169" fillId="0" borderId="0" xfId="0" applyFont="1" applyAlignment="1">
      <alignment wrapText="1"/>
    </xf>
    <xf numFmtId="0" fontId="106" fillId="0" borderId="0" xfId="46" applyFont="1" applyAlignment="1">
      <alignment horizontal="center" wrapText="1"/>
    </xf>
    <xf numFmtId="0" fontId="105" fillId="0" borderId="0" xfId="0" applyFont="1" applyAlignment="1">
      <alignment wrapText="1"/>
    </xf>
    <xf numFmtId="0" fontId="175" fillId="0" borderId="0" xfId="0" applyFont="1" applyAlignment="1">
      <alignment wrapText="1"/>
    </xf>
    <xf numFmtId="0" fontId="92" fillId="0" borderId="71" xfId="46" applyFont="1" applyBorder="1" applyAlignment="1">
      <alignment horizontal="center" vertical="center"/>
    </xf>
    <xf numFmtId="0" fontId="166" fillId="0" borderId="71" xfId="0" applyFont="1" applyBorder="1" applyAlignment="1">
      <alignment horizontal="center" vertical="center"/>
    </xf>
    <xf numFmtId="0" fontId="106" fillId="0" borderId="0" xfId="0" applyFont="1" applyAlignment="1">
      <alignment horizontal="center" vertical="center" wrapText="1"/>
    </xf>
    <xf numFmtId="0" fontId="106" fillId="0" borderId="71" xfId="46" applyFont="1" applyBorder="1" applyAlignment="1">
      <alignment horizontal="center"/>
    </xf>
    <xf numFmtId="0" fontId="132" fillId="0" borderId="71" xfId="0" applyFont="1" applyBorder="1" applyAlignment="1">
      <alignment horizontal="center"/>
    </xf>
    <xf numFmtId="0" fontId="104" fillId="0" borderId="71" xfId="46" applyFont="1" applyBorder="1" applyAlignment="1">
      <alignment horizontal="center"/>
    </xf>
    <xf numFmtId="0" fontId="181" fillId="0" borderId="71" xfId="0" applyFont="1" applyBorder="1" applyAlignment="1">
      <alignment horizontal="center"/>
    </xf>
    <xf numFmtId="0" fontId="116" fillId="0" borderId="0" xfId="46" applyFont="1" applyAlignment="1">
      <alignment horizontal="center" wrapText="1"/>
    </xf>
    <xf numFmtId="0" fontId="150" fillId="0" borderId="0" xfId="0" applyFont="1" applyAlignment="1">
      <alignment wrapText="1"/>
    </xf>
    <xf numFmtId="0" fontId="142" fillId="0" borderId="0" xfId="0" applyFont="1" applyAlignment="1">
      <alignment wrapText="1"/>
    </xf>
    <xf numFmtId="0" fontId="106" fillId="0" borderId="0" xfId="0" applyFont="1" applyAlignment="1">
      <alignment horizontal="center"/>
    </xf>
    <xf numFmtId="0" fontId="175" fillId="0" borderId="0" xfId="0" applyFont="1" applyAlignment="1">
      <alignment horizontal="center"/>
    </xf>
    <xf numFmtId="0" fontId="92" fillId="0" borderId="46" xfId="0" applyFont="1" applyFill="1" applyBorder="1" applyAlignment="1">
      <alignment horizontal="center" vertical="center" wrapText="1"/>
    </xf>
    <xf numFmtId="0" fontId="92" fillId="0" borderId="27" xfId="0" applyFont="1" applyFill="1" applyBorder="1" applyAlignment="1">
      <alignment horizontal="center" vertical="center" wrapText="1"/>
    </xf>
    <xf numFmtId="0" fontId="92" fillId="0" borderId="57" xfId="0" applyFont="1" applyFill="1" applyBorder="1" applyAlignment="1">
      <alignment horizontal="center" vertical="center" wrapText="1"/>
    </xf>
    <xf numFmtId="0" fontId="92" fillId="0" borderId="16" xfId="0" applyFont="1" applyFill="1" applyBorder="1" applyAlignment="1">
      <alignment horizontal="center" vertical="center" wrapText="1"/>
    </xf>
    <xf numFmtId="0" fontId="92" fillId="0" borderId="46" xfId="0" applyFont="1" applyBorder="1" applyAlignment="1">
      <alignment horizontal="center"/>
    </xf>
    <xf numFmtId="0" fontId="92" fillId="0" borderId="43" xfId="0" applyFont="1" applyBorder="1" applyAlignment="1">
      <alignment horizontal="center"/>
    </xf>
    <xf numFmtId="0" fontId="92" fillId="0" borderId="50" xfId="0" applyFont="1" applyBorder="1" applyAlignment="1">
      <alignment horizontal="center"/>
    </xf>
    <xf numFmtId="0" fontId="92" fillId="0" borderId="54" xfId="0" applyFont="1" applyBorder="1" applyAlignment="1">
      <alignment horizontal="center"/>
    </xf>
    <xf numFmtId="0" fontId="92" fillId="0" borderId="57" xfId="0" applyFont="1" applyBorder="1" applyAlignment="1">
      <alignment horizontal="center"/>
    </xf>
    <xf numFmtId="0" fontId="166" fillId="0" borderId="43" xfId="0" applyFont="1" applyBorder="1" applyAlignment="1">
      <alignment horizontal="center"/>
    </xf>
    <xf numFmtId="0" fontId="166" fillId="0" borderId="50" xfId="0" applyFont="1" applyBorder="1" applyAlignment="1">
      <alignment horizontal="center"/>
    </xf>
    <xf numFmtId="0" fontId="166" fillId="0" borderId="57" xfId="0" applyFont="1" applyBorder="1" applyAlignment="1">
      <alignment horizontal="center"/>
    </xf>
    <xf numFmtId="0" fontId="151" fillId="0" borderId="27" xfId="0" applyFont="1" applyBorder="1" applyAlignment="1">
      <alignment horizontal="center" vertical="center" wrapText="1"/>
    </xf>
    <xf numFmtId="0" fontId="151" fillId="0" borderId="16" xfId="0" applyFont="1" applyBorder="1" applyAlignment="1">
      <alignment horizontal="center" vertical="center" wrapText="1"/>
    </xf>
    <xf numFmtId="0" fontId="167" fillId="0" borderId="0" xfId="0" applyFont="1" applyAlignment="1">
      <alignment horizontal="center"/>
    </xf>
    <xf numFmtId="0" fontId="169" fillId="0" borderId="0" xfId="0" applyFont="1" applyAlignment="1">
      <alignment horizontal="center"/>
    </xf>
    <xf numFmtId="0" fontId="116" fillId="0" borderId="46" xfId="0" applyFont="1" applyBorder="1" applyAlignment="1">
      <alignment horizontal="center"/>
    </xf>
    <xf numFmtId="0" fontId="186" fillId="0" borderId="43" xfId="0" applyFont="1" applyBorder="1" applyAlignment="1">
      <alignment horizontal="center"/>
    </xf>
    <xf numFmtId="0" fontId="186" fillId="0" borderId="50" xfId="0" applyFont="1" applyBorder="1" applyAlignment="1">
      <alignment horizontal="center"/>
    </xf>
    <xf numFmtId="0" fontId="116" fillId="0" borderId="54" xfId="0" applyFont="1" applyBorder="1" applyAlignment="1">
      <alignment horizontal="center"/>
    </xf>
    <xf numFmtId="0" fontId="186" fillId="0" borderId="57" xfId="0" applyFont="1" applyBorder="1" applyAlignment="1">
      <alignment horizontal="center"/>
    </xf>
    <xf numFmtId="0" fontId="92" fillId="0" borderId="43" xfId="0" applyFont="1" applyFill="1" applyBorder="1" applyAlignment="1">
      <alignment horizontal="center" vertical="center" wrapText="1"/>
    </xf>
    <xf numFmtId="0" fontId="151" fillId="0" borderId="10" xfId="0" applyFont="1" applyBorder="1" applyAlignment="1">
      <alignment horizontal="center" vertical="center" wrapText="1"/>
    </xf>
    <xf numFmtId="0" fontId="116" fillId="0" borderId="0" xfId="0" applyFont="1" applyAlignment="1">
      <alignment horizontal="center"/>
    </xf>
    <xf numFmtId="0" fontId="142" fillId="0" borderId="0" xfId="0" applyFont="1" applyAlignment="1">
      <alignment horizontal="center"/>
    </xf>
    <xf numFmtId="0" fontId="116" fillId="0" borderId="57" xfId="0" applyFont="1" applyFill="1" applyBorder="1" applyAlignment="1">
      <alignment horizontal="center" vertical="center" wrapText="1"/>
    </xf>
    <xf numFmtId="0" fontId="142" fillId="0" borderId="16" xfId="0" applyFont="1" applyBorder="1" applyAlignment="1">
      <alignment horizontal="center" vertical="center" wrapText="1"/>
    </xf>
    <xf numFmtId="0" fontId="106" fillId="0" borderId="46" xfId="0" applyFont="1" applyBorder="1" applyAlignment="1">
      <alignment horizontal="center"/>
    </xf>
    <xf numFmtId="0" fontId="132" fillId="0" borderId="43" xfId="0" applyFont="1" applyBorder="1" applyAlignment="1">
      <alignment horizontal="center"/>
    </xf>
    <xf numFmtId="0" fontId="132" fillId="0" borderId="50" xfId="0" applyFont="1" applyBorder="1" applyAlignment="1">
      <alignment horizontal="center"/>
    </xf>
    <xf numFmtId="0" fontId="106" fillId="0" borderId="54" xfId="0" applyFont="1" applyBorder="1" applyAlignment="1">
      <alignment horizontal="center"/>
    </xf>
    <xf numFmtId="0" fontId="132" fillId="0" borderId="57" xfId="0" applyFont="1" applyBorder="1" applyAlignment="1">
      <alignment horizontal="center"/>
    </xf>
    <xf numFmtId="0" fontId="156" fillId="0" borderId="46" xfId="0" applyFont="1" applyBorder="1" applyAlignment="1">
      <alignment horizontal="center"/>
    </xf>
    <xf numFmtId="0" fontId="212" fillId="0" borderId="43" xfId="0" applyFont="1" applyBorder="1" applyAlignment="1">
      <alignment horizontal="center"/>
    </xf>
    <xf numFmtId="0" fontId="212" fillId="0" borderId="50" xfId="0" applyFont="1" applyBorder="1" applyAlignment="1">
      <alignment horizontal="center"/>
    </xf>
    <xf numFmtId="0" fontId="209" fillId="0" borderId="0" xfId="0" applyFont="1" applyAlignment="1">
      <alignment horizontal="center"/>
    </xf>
    <xf numFmtId="0" fontId="210" fillId="0" borderId="0" xfId="0" applyFont="1" applyAlignment="1">
      <alignment horizontal="center"/>
    </xf>
    <xf numFmtId="0" fontId="156" fillId="0" borderId="54" xfId="0" applyFont="1" applyBorder="1" applyAlignment="1">
      <alignment horizontal="center"/>
    </xf>
    <xf numFmtId="0" fontId="209" fillId="0" borderId="57" xfId="0" applyFont="1" applyFill="1" applyBorder="1" applyAlignment="1">
      <alignment horizontal="center" vertical="center" wrapText="1"/>
    </xf>
    <xf numFmtId="0" fontId="210" fillId="0" borderId="16" xfId="0" applyFont="1" applyBorder="1" applyAlignment="1">
      <alignment horizontal="center" vertical="center" wrapText="1"/>
    </xf>
    <xf numFmtId="0" fontId="212" fillId="0" borderId="57" xfId="0" applyFont="1" applyBorder="1" applyAlignment="1">
      <alignment horizontal="center"/>
    </xf>
    <xf numFmtId="0" fontId="156" fillId="0" borderId="0" xfId="0" applyFont="1" applyAlignment="1">
      <alignment horizontal="center"/>
    </xf>
    <xf numFmtId="0" fontId="159" fillId="0" borderId="0" xfId="0" applyFont="1" applyAlignment="1">
      <alignment horizontal="center"/>
    </xf>
    <xf numFmtId="0" fontId="156" fillId="0" borderId="57" xfId="0" applyFont="1" applyFill="1" applyBorder="1" applyAlignment="1">
      <alignment horizontal="center" vertical="center" wrapText="1"/>
    </xf>
    <xf numFmtId="0" fontId="159" fillId="0" borderId="16" xfId="0" applyFont="1" applyBorder="1" applyAlignment="1">
      <alignment horizontal="center" vertical="center" wrapText="1"/>
    </xf>
    <xf numFmtId="0" fontId="50" fillId="0" borderId="0" xfId="0" applyFont="1" applyAlignment="1">
      <alignment horizontal="center"/>
    </xf>
    <xf numFmtId="0" fontId="21" fillId="0" borderId="0" xfId="77" applyFont="1" applyAlignment="1">
      <alignment horizontal="center" vertical="center" wrapText="1"/>
    </xf>
    <xf numFmtId="0" fontId="22" fillId="0" borderId="45" xfId="77" applyFont="1" applyFill="1" applyBorder="1" applyAlignment="1">
      <alignment horizontal="center" vertical="center" wrapText="1"/>
    </xf>
    <xf numFmtId="0" fontId="14" fillId="0" borderId="10" xfId="77" applyFont="1" applyBorder="1" applyAlignment="1">
      <alignment horizontal="justify" vertical="center" wrapText="1"/>
    </xf>
    <xf numFmtId="0" fontId="14" fillId="0" borderId="23" xfId="77" applyFont="1" applyBorder="1" applyAlignment="1">
      <alignment horizontal="center" vertical="center" wrapText="1"/>
    </xf>
    <xf numFmtId="0" fontId="14" fillId="0" borderId="24" xfId="77" applyFont="1" applyBorder="1" applyAlignment="1">
      <alignment horizontal="center" vertical="center" wrapText="1"/>
    </xf>
    <xf numFmtId="0" fontId="14" fillId="0" borderId="33" xfId="77" applyFont="1" applyFill="1" applyBorder="1" applyAlignment="1">
      <alignment horizontal="center" vertical="center" wrapText="1"/>
    </xf>
    <xf numFmtId="0" fontId="14" fillId="0" borderId="16" xfId="77" applyFont="1" applyBorder="1" applyAlignment="1">
      <alignment horizontal="center" vertical="center" wrapText="1"/>
    </xf>
    <xf numFmtId="0" fontId="14" fillId="0" borderId="38" xfId="77" applyFont="1" applyBorder="1" applyAlignment="1">
      <alignment horizontal="center" vertical="center" wrapText="1"/>
    </xf>
    <xf numFmtId="0" fontId="63" fillId="0" borderId="39" xfId="77" applyFont="1" applyFill="1" applyBorder="1" applyAlignment="1">
      <alignment horizontal="center" vertical="center" wrapText="1"/>
    </xf>
    <xf numFmtId="0" fontId="63" fillId="0" borderId="54" xfId="77" applyFont="1" applyFill="1" applyBorder="1" applyAlignment="1">
      <alignment horizontal="center" vertical="center" wrapText="1"/>
    </xf>
    <xf numFmtId="0" fontId="63" fillId="0" borderId="57" xfId="77" applyFont="1" applyFill="1" applyBorder="1" applyAlignment="1">
      <alignment horizontal="center" vertical="center"/>
    </xf>
    <xf numFmtId="0" fontId="63" fillId="0" borderId="39" xfId="77" applyFont="1" applyFill="1" applyBorder="1" applyAlignment="1">
      <alignment horizontal="center" vertical="center"/>
    </xf>
    <xf numFmtId="0" fontId="63" fillId="0" borderId="54" xfId="77" applyFont="1" applyFill="1" applyBorder="1" applyAlignment="1">
      <alignment horizontal="center" vertical="center"/>
    </xf>
    <xf numFmtId="0" fontId="14" fillId="0" borderId="33" xfId="77" applyFont="1" applyBorder="1" applyAlignment="1">
      <alignment horizontal="center" vertical="center" wrapText="1"/>
    </xf>
    <xf numFmtId="0" fontId="14" fillId="0" borderId="23" xfId="77" applyFont="1" applyBorder="1" applyAlignment="1">
      <alignment horizontal="justify" vertical="center" wrapText="1"/>
    </xf>
    <xf numFmtId="0" fontId="14" fillId="0" borderId="16" xfId="77" applyFont="1" applyBorder="1" applyAlignment="1">
      <alignment horizontal="justify" vertical="center" wrapText="1"/>
    </xf>
    <xf numFmtId="0" fontId="14" fillId="0" borderId="38" xfId="77" applyFont="1" applyBorder="1" applyAlignment="1">
      <alignment horizontal="justify" vertical="center" wrapText="1"/>
    </xf>
    <xf numFmtId="0" fontId="14" fillId="0" borderId="48" xfId="77" applyFont="1" applyBorder="1" applyAlignment="1">
      <alignment horizontal="center" vertical="center" wrapText="1"/>
    </xf>
    <xf numFmtId="0" fontId="63" fillId="0" borderId="55" xfId="77" applyFont="1" applyFill="1" applyBorder="1" applyAlignment="1">
      <alignment horizontal="center" vertical="center" wrapText="1"/>
    </xf>
    <xf numFmtId="0" fontId="14" fillId="0" borderId="16" xfId="77" applyFont="1" applyBorder="1" applyAlignment="1">
      <alignment horizontal="left" vertical="center" wrapText="1"/>
    </xf>
    <xf numFmtId="0" fontId="19" fillId="0" borderId="38" xfId="77" applyFont="1" applyBorder="1" applyAlignment="1">
      <alignment horizontal="left" vertical="center" wrapText="1"/>
    </xf>
    <xf numFmtId="0" fontId="14" fillId="0" borderId="23" xfId="77" applyFont="1" applyFill="1" applyBorder="1" applyAlignment="1">
      <alignment horizontal="center" vertical="center" wrapText="1"/>
    </xf>
    <xf numFmtId="0" fontId="14" fillId="0" borderId="16" xfId="77" applyFont="1" applyBorder="1" applyAlignment="1">
      <alignment horizontal="center" vertical="top" wrapText="1"/>
    </xf>
    <xf numFmtId="0" fontId="14" fillId="0" borderId="38" xfId="77" applyFont="1" applyBorder="1" applyAlignment="1">
      <alignment horizontal="center" vertical="top" wrapText="1"/>
    </xf>
    <xf numFmtId="0" fontId="156" fillId="0" borderId="0" xfId="50" applyFont="1" applyAlignment="1">
      <alignment horizontal="center" wrapText="1"/>
    </xf>
    <xf numFmtId="0" fontId="188" fillId="0" borderId="0" xfId="0" applyFont="1" applyAlignment="1">
      <alignment wrapText="1"/>
    </xf>
    <xf numFmtId="0" fontId="159" fillId="0" borderId="0" xfId="0" applyFont="1" applyAlignment="1">
      <alignment wrapText="1"/>
    </xf>
    <xf numFmtId="0" fontId="51" fillId="0" borderId="0" xfId="0" applyFont="1" applyFill="1" applyBorder="1" applyAlignment="1">
      <alignment horizontal="right" vertical="center" wrapText="1"/>
    </xf>
    <xf numFmtId="0" fontId="51" fillId="0" borderId="12" xfId="0" applyFont="1" applyFill="1" applyBorder="1" applyAlignment="1">
      <alignment horizontal="right" vertical="center" wrapText="1"/>
    </xf>
    <xf numFmtId="3" fontId="93" fillId="0" borderId="16" xfId="50" applyNumberFormat="1" applyFont="1" applyBorder="1" applyAlignment="1">
      <alignment horizontal="right"/>
    </xf>
    <xf numFmtId="3" fontId="93" fillId="0" borderId="53" xfId="50" applyNumberFormat="1" applyFont="1" applyBorder="1" applyAlignment="1">
      <alignment horizontal="right"/>
    </xf>
    <xf numFmtId="3" fontId="93" fillId="0" borderId="38" xfId="50" applyNumberFormat="1" applyFont="1" applyBorder="1" applyAlignment="1">
      <alignment horizontal="right"/>
    </xf>
    <xf numFmtId="0" fontId="23" fillId="0" borderId="0" xfId="0" applyFont="1" applyFill="1" applyBorder="1" applyAlignment="1">
      <alignment horizontal="right" vertical="center"/>
    </xf>
    <xf numFmtId="0" fontId="23" fillId="0" borderId="12" xfId="0" applyFont="1" applyFill="1" applyBorder="1" applyAlignment="1">
      <alignment horizontal="right" vertical="center"/>
    </xf>
    <xf numFmtId="0" fontId="48" fillId="0" borderId="0" xfId="65" applyFont="1" applyBorder="1" applyAlignment="1">
      <alignment horizontal="left" vertical="center" wrapText="1"/>
    </xf>
    <xf numFmtId="0" fontId="48" fillId="0" borderId="12" xfId="65" applyFont="1" applyBorder="1" applyAlignment="1">
      <alignment horizontal="left" vertical="center" wrapText="1"/>
    </xf>
    <xf numFmtId="0" fontId="92" fillId="0" borderId="0" xfId="46" applyFont="1" applyAlignment="1">
      <alignment horizontal="center" wrapText="1"/>
    </xf>
    <xf numFmtId="0" fontId="107" fillId="0" borderId="0" xfId="0" applyFont="1" applyAlignment="1">
      <alignment wrapText="1"/>
    </xf>
    <xf numFmtId="0" fontId="151" fillId="0" borderId="0" xfId="0" applyFont="1" applyAlignment="1">
      <alignment wrapText="1"/>
    </xf>
    <xf numFmtId="0" fontId="0" fillId="0" borderId="0" xfId="0" applyAlignment="1">
      <alignment wrapText="1"/>
    </xf>
    <xf numFmtId="0" fontId="50" fillId="0" borderId="0" xfId="46" applyFont="1" applyAlignment="1">
      <alignment horizontal="center" wrapText="1"/>
    </xf>
    <xf numFmtId="0" fontId="179" fillId="0" borderId="0" xfId="0" applyFont="1" applyAlignment="1"/>
    <xf numFmtId="0" fontId="142" fillId="0" borderId="0" xfId="0" applyFont="1" applyAlignment="1"/>
    <xf numFmtId="0" fontId="50" fillId="0" borderId="0" xfId="0" applyFont="1" applyAlignment="1">
      <alignment horizontal="center" vertical="center" wrapText="1"/>
    </xf>
    <xf numFmtId="0" fontId="0" fillId="0" borderId="0" xfId="0" applyAlignment="1">
      <alignment vertical="center" wrapText="1"/>
    </xf>
    <xf numFmtId="0" fontId="50" fillId="0" borderId="0" xfId="0" applyFont="1" applyAlignment="1">
      <alignment horizontal="center" wrapText="1"/>
    </xf>
    <xf numFmtId="0" fontId="175" fillId="0" borderId="0" xfId="0" applyFont="1" applyAlignment="1"/>
    <xf numFmtId="0" fontId="22" fillId="0" borderId="0" xfId="68" applyFont="1" applyAlignment="1">
      <alignment horizontal="center"/>
    </xf>
    <xf numFmtId="0" fontId="118" fillId="0" borderId="0" xfId="0" applyFont="1" applyAlignment="1">
      <alignment wrapText="1"/>
    </xf>
    <xf numFmtId="0" fontId="190" fillId="0" borderId="0" xfId="0" applyFont="1" applyAlignment="1">
      <alignment horizontal="center" wrapText="1"/>
    </xf>
    <xf numFmtId="0" fontId="191" fillId="0" borderId="0" xfId="0" applyFont="1" applyAlignment="1">
      <alignment horizontal="center" wrapText="1"/>
    </xf>
    <xf numFmtId="0" fontId="162" fillId="0" borderId="56" xfId="0" applyFont="1" applyFill="1" applyBorder="1" applyAlignment="1">
      <alignment horizontal="center" vertical="center"/>
    </xf>
    <xf numFmtId="0" fontId="162" fillId="0" borderId="56" xfId="0" applyFont="1" applyFill="1" applyBorder="1" applyAlignment="1">
      <alignment vertical="center"/>
    </xf>
    <xf numFmtId="0" fontId="193" fillId="0" borderId="56" xfId="0" applyFont="1" applyBorder="1" applyAlignment="1">
      <alignment vertical="center"/>
    </xf>
    <xf numFmtId="0" fontId="191" fillId="0" borderId="56" xfId="0" applyFont="1" applyBorder="1" applyAlignment="1">
      <alignment vertical="center"/>
    </xf>
    <xf numFmtId="0" fontId="116" fillId="0" borderId="0" xfId="0" applyFont="1" applyAlignment="1">
      <alignment horizontal="center" wrapText="1"/>
    </xf>
    <xf numFmtId="0" fontId="0" fillId="0" borderId="0" xfId="0" applyAlignment="1">
      <alignment horizontal="center" wrapText="1"/>
    </xf>
    <xf numFmtId="0" fontId="104" fillId="0" borderId="56" xfId="0" applyFont="1" applyFill="1" applyBorder="1" applyAlignment="1">
      <alignment horizontal="center"/>
    </xf>
    <xf numFmtId="0" fontId="142" fillId="0" borderId="56" xfId="0" applyFont="1" applyBorder="1" applyAlignment="1"/>
    <xf numFmtId="0" fontId="0" fillId="0" borderId="56" xfId="0" applyBorder="1" applyAlignment="1"/>
    <xf numFmtId="0" fontId="54" fillId="0" borderId="10" xfId="51" applyFont="1" applyBorder="1" applyAlignment="1">
      <alignment horizontal="center" wrapText="1"/>
    </xf>
    <xf numFmtId="0" fontId="22" fillId="0" borderId="0" xfId="0" applyFont="1" applyAlignment="1">
      <alignment horizontal="center" wrapText="1"/>
    </xf>
    <xf numFmtId="0" fontId="50" fillId="0" borderId="0" xfId="69" applyFont="1" applyBorder="1" applyAlignment="1">
      <alignment horizontal="center" wrapText="1"/>
    </xf>
    <xf numFmtId="0" fontId="109" fillId="0" borderId="0" xfId="47" applyFont="1" applyAlignment="1">
      <alignment horizontal="center"/>
    </xf>
    <xf numFmtId="0" fontId="57" fillId="0" borderId="0" xfId="59" applyFont="1" applyBorder="1" applyAlignment="1">
      <alignment horizontal="center"/>
    </xf>
    <xf numFmtId="0" fontId="106" fillId="0" borderId="0" xfId="59" applyFont="1" applyBorder="1" applyAlignment="1">
      <alignment horizontal="center" wrapText="1"/>
    </xf>
    <xf numFmtId="0" fontId="57" fillId="0" borderId="0" xfId="47" applyFont="1" applyAlignment="1">
      <alignment horizontal="center"/>
    </xf>
    <xf numFmtId="0" fontId="92" fillId="0" borderId="0" xfId="55" applyFont="1" applyAlignment="1">
      <alignment horizontal="center" wrapText="1"/>
    </xf>
    <xf numFmtId="0" fontId="22" fillId="0" borderId="0" xfId="47" applyFont="1" applyAlignment="1">
      <alignment horizontal="center"/>
    </xf>
    <xf numFmtId="0" fontId="50" fillId="0" borderId="0" xfId="58" applyFont="1" applyBorder="1" applyAlignment="1">
      <alignment horizontal="center" wrapText="1"/>
    </xf>
    <xf numFmtId="0" fontId="22" fillId="0" borderId="0" xfId="58" applyFont="1" applyBorder="1" applyAlignment="1">
      <alignment horizontal="center" vertical="center"/>
    </xf>
    <xf numFmtId="0" fontId="51" fillId="0" borderId="0" xfId="51" applyFont="1" applyBorder="1" applyAlignment="1">
      <alignment horizontal="center" vertical="center"/>
    </xf>
    <xf numFmtId="0" fontId="56" fillId="0" borderId="0" xfId="51" applyFont="1" applyAlignment="1"/>
    <xf numFmtId="0" fontId="57" fillId="0" borderId="0" xfId="52" applyFont="1" applyAlignment="1">
      <alignment horizontal="center" wrapText="1"/>
    </xf>
    <xf numFmtId="0" fontId="166" fillId="0" borderId="0" xfId="0" applyFont="1" applyAlignment="1">
      <alignment horizontal="center" wrapText="1"/>
    </xf>
    <xf numFmtId="0" fontId="167" fillId="0" borderId="0" xfId="98" applyFont="1" applyFill="1" applyAlignment="1">
      <alignment horizontal="center" wrapText="1"/>
    </xf>
    <xf numFmtId="0" fontId="168" fillId="0" borderId="0" xfId="98" applyFont="1" applyAlignment="1">
      <alignment horizontal="center" wrapText="1"/>
    </xf>
    <xf numFmtId="0" fontId="168" fillId="0" borderId="0" xfId="98" applyFont="1" applyAlignment="1">
      <alignment wrapText="1"/>
    </xf>
    <xf numFmtId="3" fontId="172" fillId="0" borderId="60" xfId="99" applyNumberFormat="1" applyFont="1" applyFill="1" applyBorder="1" applyAlignment="1">
      <alignment horizontal="left" vertical="center" wrapText="1"/>
    </xf>
    <xf numFmtId="3" fontId="172" fillId="0" borderId="53" xfId="99" applyNumberFormat="1" applyFont="1" applyFill="1" applyBorder="1" applyAlignment="1">
      <alignment horizontal="left" vertical="center" wrapText="1"/>
    </xf>
    <xf numFmtId="3" fontId="167" fillId="0" borderId="0" xfId="98" applyNumberFormat="1" applyFont="1" applyFill="1" applyBorder="1" applyAlignment="1">
      <alignment horizontal="center" vertical="center" wrapText="1"/>
    </xf>
    <xf numFmtId="0" fontId="158" fillId="0" borderId="0" xfId="0" applyFont="1" applyAlignment="1">
      <alignment horizontal="center" vertical="center" wrapText="1"/>
    </xf>
    <xf numFmtId="3" fontId="170" fillId="0" borderId="11" xfId="99" applyNumberFormat="1" applyFont="1" applyFill="1" applyBorder="1" applyAlignment="1">
      <alignment horizontal="left" vertical="center" wrapText="1"/>
    </xf>
    <xf numFmtId="3" fontId="170" fillId="0" borderId="45" xfId="99" applyNumberFormat="1" applyFont="1" applyFill="1" applyBorder="1" applyAlignment="1">
      <alignment horizontal="left" vertical="center" wrapText="1"/>
    </xf>
    <xf numFmtId="3" fontId="170" fillId="0" borderId="59" xfId="99" applyNumberFormat="1" applyFont="1" applyFill="1" applyBorder="1" applyAlignment="1">
      <alignment horizontal="left" vertical="center" wrapText="1"/>
    </xf>
    <xf numFmtId="3" fontId="170" fillId="0" borderId="55" xfId="99" applyNumberFormat="1" applyFont="1" applyFill="1" applyBorder="1" applyAlignment="1">
      <alignment horizontal="left" vertical="center" wrapText="1"/>
    </xf>
    <xf numFmtId="3" fontId="170" fillId="0" borderId="60" xfId="99" applyNumberFormat="1" applyFont="1" applyFill="1" applyBorder="1" applyAlignment="1">
      <alignment horizontal="left" vertical="center" wrapText="1"/>
    </xf>
    <xf numFmtId="3" fontId="170" fillId="0" borderId="53" xfId="99" applyNumberFormat="1" applyFont="1" applyFill="1" applyBorder="1" applyAlignment="1">
      <alignment horizontal="left" vertical="center" wrapText="1"/>
    </xf>
    <xf numFmtId="3" fontId="170" fillId="0" borderId="34" xfId="99" applyNumberFormat="1" applyFont="1" applyFill="1" applyBorder="1" applyAlignment="1">
      <alignment horizontal="left" vertical="center" wrapText="1"/>
    </xf>
    <xf numFmtId="3" fontId="170" fillId="0" borderId="35" xfId="99" applyNumberFormat="1" applyFont="1" applyFill="1" applyBorder="1" applyAlignment="1">
      <alignment horizontal="left" vertical="center" wrapText="1"/>
    </xf>
    <xf numFmtId="3" fontId="170" fillId="0" borderId="27" xfId="99" applyNumberFormat="1" applyFont="1" applyFill="1" applyBorder="1" applyAlignment="1">
      <alignment horizontal="left" vertical="center" wrapText="1"/>
    </xf>
    <xf numFmtId="3" fontId="170" fillId="0" borderId="10" xfId="99" applyNumberFormat="1" applyFont="1" applyFill="1" applyBorder="1" applyAlignment="1">
      <alignment horizontal="left" vertical="center" wrapText="1"/>
    </xf>
    <xf numFmtId="3" fontId="170" fillId="0" borderId="66" xfId="99" applyNumberFormat="1" applyFont="1" applyFill="1" applyBorder="1" applyAlignment="1">
      <alignment horizontal="left" vertical="center" wrapText="1"/>
    </xf>
    <xf numFmtId="3" fontId="170" fillId="0" borderId="41" xfId="99" applyNumberFormat="1" applyFont="1" applyFill="1" applyBorder="1" applyAlignment="1">
      <alignment horizontal="left" vertical="center" wrapText="1"/>
    </xf>
    <xf numFmtId="3" fontId="170" fillId="0" borderId="63" xfId="99" applyNumberFormat="1" applyFont="1" applyFill="1" applyBorder="1" applyAlignment="1">
      <alignment horizontal="left" vertical="center" wrapText="1"/>
    </xf>
    <xf numFmtId="3" fontId="170" fillId="0" borderId="39" xfId="99" applyNumberFormat="1" applyFont="1" applyFill="1" applyBorder="1" applyAlignment="1">
      <alignment horizontal="left" vertical="center" wrapText="1"/>
    </xf>
    <xf numFmtId="0" fontId="106" fillId="0" borderId="0" xfId="69" applyFont="1" applyBorder="1" applyAlignment="1">
      <alignment horizontal="center" wrapText="1"/>
    </xf>
    <xf numFmtId="0" fontId="106" fillId="0" borderId="0" xfId="68" applyFont="1" applyBorder="1" applyAlignment="1">
      <alignment horizontal="center" wrapText="1"/>
    </xf>
    <xf numFmtId="3" fontId="67" fillId="0" borderId="0" xfId="91" applyNumberFormat="1" applyFont="1" applyFill="1" applyBorder="1" applyAlignment="1">
      <alignment horizontal="center" vertical="center"/>
    </xf>
    <xf numFmtId="0" fontId="138" fillId="0" borderId="40" xfId="93" applyFont="1" applyFill="1" applyBorder="1" applyAlignment="1">
      <alignment horizontal="center" vertical="center"/>
    </xf>
    <xf numFmtId="0" fontId="138" fillId="0" borderId="81" xfId="93" applyFont="1" applyFill="1" applyBorder="1" applyAlignment="1">
      <alignment horizontal="center" vertical="center"/>
    </xf>
    <xf numFmtId="0" fontId="138" fillId="0" borderId="69" xfId="93" applyFont="1" applyFill="1" applyBorder="1" applyAlignment="1">
      <alignment horizontal="center" vertical="center"/>
    </xf>
    <xf numFmtId="0" fontId="103" fillId="0" borderId="79" xfId="92" applyFont="1" applyFill="1" applyBorder="1" applyAlignment="1">
      <alignment horizontal="center" vertical="center" wrapText="1"/>
    </xf>
    <xf numFmtId="0" fontId="103" fillId="0" borderId="82" xfId="90" applyFont="1" applyFill="1" applyBorder="1" applyAlignment="1">
      <alignment horizontal="center" vertical="center" wrapText="1"/>
    </xf>
    <xf numFmtId="0" fontId="103" fillId="0" borderId="84" xfId="90" applyFont="1" applyFill="1" applyBorder="1" applyAlignment="1">
      <alignment horizontal="center" vertical="center" wrapText="1"/>
    </xf>
    <xf numFmtId="0" fontId="103" fillId="0" borderId="23" xfId="92" applyFont="1" applyFill="1" applyBorder="1" applyAlignment="1">
      <alignment horizontal="center" vertical="center" wrapText="1"/>
    </xf>
    <xf numFmtId="0" fontId="103" fillId="0" borderId="33" xfId="90" applyFont="1" applyFill="1" applyBorder="1" applyAlignment="1">
      <alignment horizontal="center" vertical="center" wrapText="1"/>
    </xf>
    <xf numFmtId="0" fontId="103" fillId="0" borderId="48" xfId="90" applyFont="1" applyFill="1" applyBorder="1" applyAlignment="1">
      <alignment horizontal="center" vertical="center" wrapText="1"/>
    </xf>
    <xf numFmtId="0" fontId="103" fillId="0" borderId="80" xfId="92" applyFont="1" applyFill="1" applyBorder="1" applyAlignment="1">
      <alignment horizontal="center" vertical="center" wrapText="1"/>
    </xf>
    <xf numFmtId="0" fontId="103" fillId="0" borderId="83" xfId="90" applyFont="1" applyFill="1" applyBorder="1" applyAlignment="1">
      <alignment horizontal="center" vertical="center" wrapText="1"/>
    </xf>
    <xf numFmtId="0" fontId="103" fillId="0" borderId="85" xfId="90" applyFont="1" applyFill="1" applyBorder="1" applyAlignment="1">
      <alignment horizontal="center" vertical="center" wrapText="1"/>
    </xf>
    <xf numFmtId="3" fontId="136" fillId="0" borderId="78" xfId="92" applyNumberFormat="1" applyFont="1" applyFill="1" applyBorder="1" applyAlignment="1">
      <alignment horizontal="right" vertical="center"/>
    </xf>
    <xf numFmtId="0" fontId="136" fillId="0" borderId="78" xfId="90" applyFont="1" applyFill="1" applyBorder="1" applyAlignment="1">
      <alignment horizontal="right" vertical="center"/>
    </xf>
    <xf numFmtId="3" fontId="136" fillId="0" borderId="16" xfId="92" applyNumberFormat="1" applyFont="1" applyFill="1" applyBorder="1" applyAlignment="1">
      <alignment horizontal="right" vertical="center"/>
    </xf>
    <xf numFmtId="0" fontId="136" fillId="0" borderId="16" xfId="90" applyFont="1" applyFill="1" applyBorder="1" applyAlignment="1">
      <alignment horizontal="right" vertical="center"/>
    </xf>
    <xf numFmtId="3" fontId="136" fillId="0" borderId="10" xfId="92" applyNumberFormat="1" applyFont="1" applyFill="1" applyBorder="1" applyAlignment="1">
      <alignment horizontal="right" vertical="center"/>
    </xf>
    <xf numFmtId="0" fontId="136" fillId="0" borderId="10" xfId="90" applyFont="1" applyFill="1" applyBorder="1" applyAlignment="1">
      <alignment horizontal="right" vertical="center"/>
    </xf>
    <xf numFmtId="0" fontId="103" fillId="0" borderId="10" xfId="92" applyFont="1" applyFill="1" applyBorder="1" applyAlignment="1">
      <alignment horizontal="center" vertical="center"/>
    </xf>
    <xf numFmtId="0" fontId="103" fillId="0" borderId="16" xfId="92" applyFont="1" applyFill="1" applyBorder="1" applyAlignment="1">
      <alignment horizontal="left" vertical="center" wrapText="1" indent="3"/>
    </xf>
    <xf numFmtId="0" fontId="103" fillId="0" borderId="16" xfId="92" applyFont="1" applyFill="1" applyBorder="1" applyAlignment="1">
      <alignment horizontal="left" vertical="center" indent="3"/>
    </xf>
    <xf numFmtId="0" fontId="103" fillId="0" borderId="16" xfId="93" applyFont="1" applyFill="1" applyBorder="1" applyAlignment="1">
      <alignment horizontal="left" vertical="center" indent="3"/>
    </xf>
    <xf numFmtId="0" fontId="135" fillId="0" borderId="0" xfId="68" applyFont="1" applyFill="1" applyBorder="1" applyAlignment="1">
      <alignment horizontal="center" wrapText="1"/>
    </xf>
    <xf numFmtId="0" fontId="195" fillId="0" borderId="0" xfId="0" applyFont="1" applyAlignment="1">
      <alignment horizontal="center" wrapText="1"/>
    </xf>
    <xf numFmtId="0" fontId="103" fillId="0" borderId="10" xfId="93" applyFont="1" applyFill="1" applyBorder="1" applyAlignment="1">
      <alignment horizontal="center" vertical="center"/>
    </xf>
    <xf numFmtId="0" fontId="138" fillId="0" borderId="16" xfId="93" applyFont="1" applyFill="1" applyBorder="1" applyAlignment="1">
      <alignment horizontal="center" vertical="center"/>
    </xf>
    <xf numFmtId="0" fontId="103" fillId="0" borderId="76" xfId="92" applyFont="1" applyFill="1" applyBorder="1" applyAlignment="1">
      <alignment horizontal="center" vertical="center" wrapText="1"/>
    </xf>
    <xf numFmtId="0" fontId="103" fillId="0" borderId="10" xfId="92" applyFont="1" applyFill="1" applyBorder="1" applyAlignment="1">
      <alignment horizontal="center" vertical="center" wrapText="1"/>
    </xf>
    <xf numFmtId="0" fontId="103" fillId="0" borderId="77" xfId="92" applyFont="1" applyFill="1" applyBorder="1" applyAlignment="1">
      <alignment horizontal="center" vertical="center" wrapText="1"/>
    </xf>
    <xf numFmtId="0" fontId="22" fillId="0" borderId="0" xfId="52" applyFont="1" applyAlignment="1">
      <alignment horizontal="center" wrapText="1"/>
    </xf>
    <xf numFmtId="0" fontId="194" fillId="0" borderId="0" xfId="0" applyFont="1" applyAlignment="1">
      <alignment horizontal="center" wrapText="1"/>
    </xf>
    <xf numFmtId="49" fontId="196" fillId="0" borderId="16" xfId="100" applyNumberFormat="1" applyFont="1" applyBorder="1" applyAlignment="1">
      <alignment horizontal="left"/>
    </xf>
    <xf numFmtId="49" fontId="196" fillId="0" borderId="53" xfId="100" applyNumberFormat="1" applyFont="1" applyBorder="1" applyAlignment="1">
      <alignment horizontal="left"/>
    </xf>
    <xf numFmtId="49" fontId="196" fillId="0" borderId="38" xfId="100" applyNumberFormat="1" applyFont="1" applyBorder="1" applyAlignment="1">
      <alignment horizontal="left"/>
    </xf>
    <xf numFmtId="49" fontId="194" fillId="0" borderId="0" xfId="100" applyNumberFormat="1" applyFont="1" applyAlignment="1">
      <alignment horizontal="center"/>
    </xf>
    <xf numFmtId="49" fontId="194" fillId="0" borderId="0" xfId="100" applyNumberFormat="1" applyFont="1" applyBorder="1" applyAlignment="1">
      <alignment horizontal="center" wrapText="1"/>
    </xf>
    <xf numFmtId="0" fontId="118" fillId="0" borderId="0" xfId="0" applyFont="1" applyAlignment="1">
      <alignment horizontal="center" wrapText="1"/>
    </xf>
    <xf numFmtId="49" fontId="197" fillId="0" borderId="0" xfId="100" applyNumberFormat="1" applyFont="1" applyAlignment="1">
      <alignment horizontal="center"/>
    </xf>
    <xf numFmtId="49" fontId="201" fillId="0" borderId="10" xfId="100" applyNumberFormat="1" applyFont="1" applyBorder="1" applyAlignment="1">
      <alignment horizontal="center"/>
    </xf>
    <xf numFmtId="3" fontId="201" fillId="0" borderId="10" xfId="100" applyNumberFormat="1" applyFont="1" applyBorder="1" applyAlignment="1">
      <alignment horizontal="center" wrapText="1"/>
    </xf>
    <xf numFmtId="49" fontId="215" fillId="0" borderId="10" xfId="100" applyNumberFormat="1" applyFont="1" applyBorder="1" applyAlignment="1">
      <alignment horizontal="left"/>
    </xf>
    <xf numFmtId="49" fontId="215" fillId="0" borderId="10" xfId="100" applyNumberFormat="1" applyFont="1" applyBorder="1" applyAlignment="1">
      <alignment horizontal="left" wrapText="1"/>
    </xf>
    <xf numFmtId="49" fontId="215" fillId="0" borderId="16" xfId="100" applyNumberFormat="1" applyFont="1" applyBorder="1" applyAlignment="1">
      <alignment horizontal="left"/>
    </xf>
    <xf numFmtId="49" fontId="215" fillId="0" borderId="38" xfId="100" applyNumberFormat="1" applyFont="1" applyBorder="1" applyAlignment="1">
      <alignment horizontal="left"/>
    </xf>
    <xf numFmtId="49" fontId="194" fillId="0" borderId="0" xfId="100" applyNumberFormat="1" applyFont="1" applyBorder="1" applyAlignment="1">
      <alignment horizontal="center" vertical="center"/>
    </xf>
    <xf numFmtId="49" fontId="197" fillId="0" borderId="0" xfId="100" applyNumberFormat="1" applyFont="1" applyBorder="1" applyAlignment="1">
      <alignment horizontal="center" vertical="center"/>
    </xf>
    <xf numFmtId="0" fontId="219" fillId="0" borderId="0" xfId="100" applyFont="1" applyAlignment="1">
      <alignment horizontal="center"/>
    </xf>
    <xf numFmtId="0" fontId="197" fillId="0" borderId="0" xfId="100" applyFont="1" applyAlignment="1">
      <alignment horizontal="center"/>
    </xf>
    <xf numFmtId="0" fontId="220" fillId="0" borderId="0" xfId="100" applyFont="1" applyAlignment="1">
      <alignment horizontal="center"/>
    </xf>
    <xf numFmtId="0" fontId="106" fillId="36" borderId="11" xfId="68" applyFont="1" applyFill="1" applyBorder="1" applyAlignment="1">
      <alignment horizontal="left" vertical="center" wrapText="1"/>
    </xf>
    <xf numFmtId="0" fontId="106" fillId="36" borderId="45" xfId="68" applyFont="1" applyFill="1" applyBorder="1" applyAlignment="1">
      <alignment horizontal="left" vertical="center" wrapText="1"/>
    </xf>
    <xf numFmtId="0" fontId="106" fillId="36" borderId="22" xfId="68" applyFont="1" applyFill="1" applyBorder="1" applyAlignment="1">
      <alignment horizontal="left" vertical="center" wrapText="1"/>
    </xf>
    <xf numFmtId="0" fontId="106" fillId="0" borderId="0" xfId="68" applyFont="1" applyBorder="1" applyAlignment="1">
      <alignment horizontal="center" vertical="center" wrapText="1"/>
    </xf>
    <xf numFmtId="0" fontId="109" fillId="0" borderId="0" xfId="47" applyFont="1" applyAlignment="1">
      <alignment horizontal="center" vertical="center" wrapText="1"/>
    </xf>
    <xf numFmtId="0" fontId="106" fillId="36" borderId="46" xfId="68" applyFont="1" applyFill="1" applyBorder="1" applyAlignment="1">
      <alignment horizontal="left" vertical="center" wrapText="1"/>
    </xf>
    <xf numFmtId="0" fontId="106" fillId="36" borderId="43" xfId="68" applyFont="1" applyFill="1" applyBorder="1" applyAlignment="1">
      <alignment horizontal="left" vertical="center" wrapText="1"/>
    </xf>
    <xf numFmtId="0" fontId="106" fillId="36" borderId="50" xfId="68" applyFont="1" applyFill="1" applyBorder="1" applyAlignment="1">
      <alignment horizontal="left" vertical="center" wrapText="1"/>
    </xf>
    <xf numFmtId="0" fontId="108" fillId="0" borderId="0" xfId="47" applyFont="1" applyFill="1" applyBorder="1" applyAlignment="1">
      <alignment vertical="center"/>
    </xf>
    <xf numFmtId="0" fontId="22" fillId="0" borderId="0" xfId="47" applyFont="1" applyAlignment="1">
      <alignment horizontal="center" wrapText="1"/>
    </xf>
    <xf numFmtId="0" fontId="15" fillId="0" borderId="0" xfId="47" applyFont="1" applyAlignment="1">
      <alignment horizontal="center"/>
    </xf>
    <xf numFmtId="0" fontId="22" fillId="0" borderId="0" xfId="47" applyFont="1" applyAlignment="1">
      <alignment horizontal="center" vertical="center" wrapText="1"/>
    </xf>
  </cellXfs>
  <cellStyles count="102">
    <cellStyle name="20% - 1. jelölőszín 2" xfId="1" xr:uid="{00000000-0005-0000-0000-000000000000}"/>
    <cellStyle name="20% - 2. jelölőszín 2" xfId="2" xr:uid="{00000000-0005-0000-0000-000001000000}"/>
    <cellStyle name="20% - 3. jelölőszín 2" xfId="3" xr:uid="{00000000-0005-0000-0000-000002000000}"/>
    <cellStyle name="20% - 4. jelölőszín 2" xfId="4" xr:uid="{00000000-0005-0000-0000-000003000000}"/>
    <cellStyle name="20% - 5. jelölőszín 2" xfId="5" xr:uid="{00000000-0005-0000-0000-000004000000}"/>
    <cellStyle name="20% - 6. jelölőszín 2" xfId="6" xr:uid="{00000000-0005-0000-0000-000005000000}"/>
    <cellStyle name="40% - 1. jelölőszín 2" xfId="7" xr:uid="{00000000-0005-0000-0000-000006000000}"/>
    <cellStyle name="40% - 2. jelölőszín 2" xfId="8" xr:uid="{00000000-0005-0000-0000-000007000000}"/>
    <cellStyle name="40% - 3. jelölőszín 2" xfId="9" xr:uid="{00000000-0005-0000-0000-000008000000}"/>
    <cellStyle name="40% - 4. jelölőszín 2" xfId="10" xr:uid="{00000000-0005-0000-0000-000009000000}"/>
    <cellStyle name="40% - 5. jelölőszín 2" xfId="11" xr:uid="{00000000-0005-0000-0000-00000A000000}"/>
    <cellStyle name="40% - 6. jelölőszín 2" xfId="12" xr:uid="{00000000-0005-0000-0000-00000B000000}"/>
    <cellStyle name="60% - 1. jelölőszín 2" xfId="13" xr:uid="{00000000-0005-0000-0000-00000C000000}"/>
    <cellStyle name="60% - 2. jelölőszín 2" xfId="14" xr:uid="{00000000-0005-0000-0000-00000D000000}"/>
    <cellStyle name="60% - 3. jelölőszín 2" xfId="15" xr:uid="{00000000-0005-0000-0000-00000E000000}"/>
    <cellStyle name="60% - 4. jelölőszín 2" xfId="16" xr:uid="{00000000-0005-0000-0000-00000F000000}"/>
    <cellStyle name="60% - 5. jelölőszín 2" xfId="17" xr:uid="{00000000-0005-0000-0000-000010000000}"/>
    <cellStyle name="60% - 6. jelölőszín 2" xfId="18" xr:uid="{00000000-0005-0000-0000-000011000000}"/>
    <cellStyle name="Bevitel 2" xfId="19" xr:uid="{00000000-0005-0000-0000-000012000000}"/>
    <cellStyle name="Cím 2" xfId="20" xr:uid="{00000000-0005-0000-0000-000013000000}"/>
    <cellStyle name="Címsor 1 2" xfId="21" xr:uid="{00000000-0005-0000-0000-000014000000}"/>
    <cellStyle name="Címsor 2 2" xfId="22" xr:uid="{00000000-0005-0000-0000-000015000000}"/>
    <cellStyle name="Címsor 3 2" xfId="23" xr:uid="{00000000-0005-0000-0000-000016000000}"/>
    <cellStyle name="Címsor 4 2" xfId="24" xr:uid="{00000000-0005-0000-0000-000017000000}"/>
    <cellStyle name="Ellenőrzőcella 2" xfId="25" xr:uid="{00000000-0005-0000-0000-000018000000}"/>
    <cellStyle name="Ezres" xfId="83" builtinId="3"/>
    <cellStyle name="Ezres 2" xfId="26" xr:uid="{00000000-0005-0000-0000-00001A000000}"/>
    <cellStyle name="Ezres 2 2" xfId="27" xr:uid="{00000000-0005-0000-0000-00001B000000}"/>
    <cellStyle name="Ezres 3" xfId="28" xr:uid="{00000000-0005-0000-0000-00001C000000}"/>
    <cellStyle name="Ezres 4" xfId="29" xr:uid="{00000000-0005-0000-0000-00001D000000}"/>
    <cellStyle name="Ezres 5" xfId="101" xr:uid="{00000000-0005-0000-0000-00001E000000}"/>
    <cellStyle name="Ezres 8" xfId="97" xr:uid="{00000000-0005-0000-0000-00001F000000}"/>
    <cellStyle name="Ezres_2011. évi költségvetés kihirdetésre javított" xfId="30" xr:uid="{00000000-0005-0000-0000-000020000000}"/>
    <cellStyle name="Ezres_2012. évi költségvetés" xfId="31" xr:uid="{00000000-0005-0000-0000-000021000000}"/>
    <cellStyle name="Ezres_Költségvetés 2005." xfId="32" xr:uid="{00000000-0005-0000-0000-000022000000}"/>
    <cellStyle name="Ezres_LIKVIDITÁS kezelés2013" xfId="33" xr:uid="{00000000-0005-0000-0000-000023000000}"/>
    <cellStyle name="Figyelmeztetés 2" xfId="34" xr:uid="{00000000-0005-0000-0000-000024000000}"/>
    <cellStyle name="Hivatkozott cella 2" xfId="35" xr:uid="{00000000-0005-0000-0000-000025000000}"/>
    <cellStyle name="Jegyzet 2" xfId="36" xr:uid="{00000000-0005-0000-0000-000026000000}"/>
    <cellStyle name="Jelölőszín (1) 2" xfId="37" xr:uid="{00000000-0005-0000-0000-000027000000}"/>
    <cellStyle name="Jelölőszín (2) 2" xfId="38" xr:uid="{00000000-0005-0000-0000-000028000000}"/>
    <cellStyle name="Jelölőszín (3) 2" xfId="39" xr:uid="{00000000-0005-0000-0000-000029000000}"/>
    <cellStyle name="Jelölőszín (4) 2" xfId="40" xr:uid="{00000000-0005-0000-0000-00002A000000}"/>
    <cellStyle name="Jelölőszín (5) 2" xfId="41" xr:uid="{00000000-0005-0000-0000-00002B000000}"/>
    <cellStyle name="Jelölőszín (6) 2" xfId="42" xr:uid="{00000000-0005-0000-0000-00002C000000}"/>
    <cellStyle name="Jó 2" xfId="43" xr:uid="{00000000-0005-0000-0000-00002D000000}"/>
    <cellStyle name="Kimenet 2" xfId="44" xr:uid="{00000000-0005-0000-0000-00002E000000}"/>
    <cellStyle name="Magyarázó szöveg 2" xfId="45" xr:uid="{00000000-0005-0000-0000-00002F000000}"/>
    <cellStyle name="Normál" xfId="0" builtinId="0"/>
    <cellStyle name="Normál 10" xfId="95" xr:uid="{00000000-0005-0000-0000-000031000000}"/>
    <cellStyle name="Normál 2" xfId="46" xr:uid="{00000000-0005-0000-0000-000032000000}"/>
    <cellStyle name="Normál 2 2" xfId="47" xr:uid="{00000000-0005-0000-0000-000033000000}"/>
    <cellStyle name="Normál 2 3" xfId="48" xr:uid="{00000000-0005-0000-0000-000034000000}"/>
    <cellStyle name="Normál 2 3 2" xfId="82" xr:uid="{00000000-0005-0000-0000-000035000000}"/>
    <cellStyle name="Normál 2 3 2 2" xfId="84" xr:uid="{00000000-0005-0000-0000-000036000000}"/>
    <cellStyle name="Normál 2 3 2 3" xfId="86" xr:uid="{00000000-0005-0000-0000-000037000000}"/>
    <cellStyle name="Normál 2 4" xfId="49" xr:uid="{00000000-0005-0000-0000-000038000000}"/>
    <cellStyle name="Normál 2 4 2" xfId="79" xr:uid="{00000000-0005-0000-0000-000039000000}"/>
    <cellStyle name="Normál 2 5" xfId="80" xr:uid="{00000000-0005-0000-0000-00003A000000}"/>
    <cellStyle name="Normál 2 6" xfId="85" xr:uid="{00000000-0005-0000-0000-00003B000000}"/>
    <cellStyle name="Normál 2_Másolat - Honalprol letöltött 2015-ös" xfId="50" xr:uid="{00000000-0005-0000-0000-00003C000000}"/>
    <cellStyle name="Normál 3" xfId="51" xr:uid="{00000000-0005-0000-0000-00003D000000}"/>
    <cellStyle name="Normál 3 2" xfId="94" xr:uid="{00000000-0005-0000-0000-00003E000000}"/>
    <cellStyle name="Normál 4" xfId="52" xr:uid="{00000000-0005-0000-0000-00003F000000}"/>
    <cellStyle name="Normál 5" xfId="53" xr:uid="{00000000-0005-0000-0000-000040000000}"/>
    <cellStyle name="Normál 5 2" xfId="81" xr:uid="{00000000-0005-0000-0000-000041000000}"/>
    <cellStyle name="Normál 5 3" xfId="88" xr:uid="{00000000-0005-0000-0000-000042000000}"/>
    <cellStyle name="Normál 5 3 2" xfId="89" xr:uid="{00000000-0005-0000-0000-000043000000}"/>
    <cellStyle name="Normál 5 3 2 2" xfId="99" xr:uid="{00000000-0005-0000-0000-000044000000}"/>
    <cellStyle name="Normál 5 3 3" xfId="98" xr:uid="{00000000-0005-0000-0000-000045000000}"/>
    <cellStyle name="Normál 6" xfId="54" xr:uid="{00000000-0005-0000-0000-000046000000}"/>
    <cellStyle name="Normál 7" xfId="55" xr:uid="{00000000-0005-0000-0000-000047000000}"/>
    <cellStyle name="Normál 8" xfId="100" xr:uid="{00000000-0005-0000-0000-000048000000}"/>
    <cellStyle name="Normál 9" xfId="96" xr:uid="{00000000-0005-0000-0000-000049000000}"/>
    <cellStyle name="Normál_2003.évi költségvetés  xls" xfId="56" xr:uid="{00000000-0005-0000-0000-00004A000000}"/>
    <cellStyle name="Normál_2004.évi költg.v. terv .xls" xfId="57" xr:uid="{00000000-0005-0000-0000-00004B000000}"/>
    <cellStyle name="Normál_2004.évi költg.v. terv .xls 2" xfId="58" xr:uid="{00000000-0005-0000-0000-00004C000000}"/>
    <cellStyle name="Normál_2005.évi zárszámadás" xfId="91" xr:uid="{00000000-0005-0000-0000-00004E000000}"/>
    <cellStyle name="Normál_2005.koncepció xls" xfId="59" xr:uid="{00000000-0005-0000-0000-00004F000000}"/>
    <cellStyle name="Normál_2005.koncepció xls 2" xfId="60" xr:uid="{00000000-0005-0000-0000-000050000000}"/>
    <cellStyle name="Normál_2009. évi Zárszámadás" xfId="93" xr:uid="{00000000-0005-0000-0000-000051000000}"/>
    <cellStyle name="Normál_2011. évi költségvetés kihirdetésre javított" xfId="61" xr:uid="{00000000-0005-0000-0000-000052000000}"/>
    <cellStyle name="Normál_2012. évi költségvetés" xfId="62" xr:uid="{00000000-0005-0000-0000-000053000000}"/>
    <cellStyle name="Normál_2012. évi zárszámadás rendelet" xfId="90" xr:uid="{00000000-0005-0000-0000-000055000000}"/>
    <cellStyle name="Normál_2014 évi költségvetés előirányzatok költségvetéshez" xfId="63" xr:uid="{00000000-0005-0000-0000-000056000000}"/>
    <cellStyle name="Normál_97ûrlap" xfId="64" xr:uid="{00000000-0005-0000-0000-000058000000}"/>
    <cellStyle name="Normál_Beszámoló táblák 2001. évről" xfId="92" xr:uid="{00000000-0005-0000-0000-000059000000}"/>
    <cellStyle name="Normál_dologi kimutatás 2009-2010.összesítve" xfId="65" xr:uid="{00000000-0005-0000-0000-00005A000000}"/>
    <cellStyle name="Normál_dologi kimutatás 2009-2010.összesítve 2" xfId="66" xr:uid="{00000000-0005-0000-0000-00005B000000}"/>
    <cellStyle name="Normál_Igény-elszám.2009-2010 Civilek_2011. évi költségvetés kihirdetésre javított" xfId="67" xr:uid="{00000000-0005-0000-0000-00005D000000}"/>
    <cellStyle name="Normál_Költségvetés 2005." xfId="68" xr:uid="{00000000-0005-0000-0000-00005E000000}"/>
    <cellStyle name="Normál_Költségvetés 2005. 2" xfId="69" xr:uid="{00000000-0005-0000-0000-00005F000000}"/>
    <cellStyle name="Normal_KTRSZJ" xfId="70" xr:uid="{00000000-0005-0000-0000-000061000000}"/>
    <cellStyle name="Normál_LIKVIDITÁS kezelés2013" xfId="71" xr:uid="{00000000-0005-0000-0000-000062000000}"/>
    <cellStyle name="Normál_Pilisvörösvár(1) 2" xfId="77" xr:uid="{00000000-0005-0000-0000-000063000000}"/>
    <cellStyle name="Normál_Státusz hivatal" xfId="72" xr:uid="{00000000-0005-0000-0000-000064000000}"/>
    <cellStyle name="Összesen 2" xfId="73" xr:uid="{00000000-0005-0000-0000-000065000000}"/>
    <cellStyle name="Pénznem 2" xfId="87" xr:uid="{00000000-0005-0000-0000-000066000000}"/>
    <cellStyle name="Rossz 2" xfId="74" xr:uid="{00000000-0005-0000-0000-000067000000}"/>
    <cellStyle name="Semleges 2" xfId="75" xr:uid="{00000000-0005-0000-0000-000068000000}"/>
    <cellStyle name="Számítás 2" xfId="76" xr:uid="{00000000-0005-0000-0000-000069000000}"/>
    <cellStyle name="Százalék" xfId="7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4.xml"/><Relationship Id="rId50"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5.xml"/><Relationship Id="rId8" Type="http://schemas.openxmlformats.org/officeDocument/2006/relationships/worksheet" Target="worksheets/sheet8.xml"/><Relationship Id="rId51"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1\MOLNAR~1.ZSU\LOCALS~1\Temp\norma_2008\0_eredeti\igeny_kieg_tablak\5_Kieg%20t&#225;bla%20k&#246;zs&#233;geknek%20a%203.%20sz&#225;m&#250;%20mell&#233;klethez_.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kumentumok/Ktgvet.m&#243;dosit&#225;s/2003.%20&#233;vi%20k&#246;lts&#233;gvet&#233;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kumentumok/Hitelek,munk&#225;ltat&#243;i/2003.%20&#233;vi%20k&#246;lts&#233;gvet&#233;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user/Local%20Settings/Temporary%20Internet%20Files/Content.IE5/AB8BUPK3/KOLTSEGV/2003.%20&#233;vi%20k&#246;lts&#233;gvet&#233;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user/Local%20Settings/Temporary%20Internet%20Files/Content.IE5/4HQ78TAR/2003.%20&#233;vi%20k&#246;lts&#233;gvet&#233;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Dokumentumok\KOLTSEGV\2003.%20&#233;vi%20k&#246;lts&#233;gvet&#233;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elhasznalo/Desktop/D&#243;ri/2018%20K&#246;lts&#233;gvet&#233;s/V&#201;GLEGES/M&#211;DOS&#205;TOTT%20(PH%20&#246;nk&#233;ntv&#225;llt%20t.)/saj&#225;t,%202018.%20K&#246;lts&#233;gvet&#233;s%202018.02.01.%20m&#243;dos&#237;tot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d"/>
      <sheetName val="Családsegítés"/>
      <sheetName val="Gyermekjóléti"/>
      <sheetName val="12 c) jogcím"/>
      <sheetName val="körjegyzőség"/>
    </sheetNames>
    <sheetDataSet>
      <sheetData sheetId="0"/>
      <sheetData sheetId="1">
        <row r="27">
          <cell r="C27" t="str">
            <v>Bábolna</v>
          </cell>
        </row>
        <row r="28">
          <cell r="C28" t="str">
            <v>Alcsútdoboz</v>
          </cell>
        </row>
        <row r="29">
          <cell r="C29" t="str">
            <v>Alattyán</v>
          </cell>
        </row>
        <row r="32">
          <cell r="C32"/>
        </row>
        <row r="33">
          <cell r="C33"/>
        </row>
        <row r="34">
          <cell r="C34"/>
        </row>
        <row r="35">
          <cell r="C35"/>
        </row>
        <row r="36">
          <cell r="C36"/>
        </row>
        <row r="37">
          <cell r="C37"/>
        </row>
        <row r="38">
          <cell r="C38"/>
        </row>
        <row r="39">
          <cell r="C39"/>
        </row>
        <row r="40">
          <cell r="C40"/>
        </row>
        <row r="41">
          <cell r="C41"/>
        </row>
        <row r="42">
          <cell r="C42"/>
        </row>
        <row r="43">
          <cell r="C43"/>
        </row>
        <row r="44">
          <cell r="C44"/>
        </row>
        <row r="45">
          <cell r="C45"/>
        </row>
        <row r="46">
          <cell r="C46"/>
        </row>
        <row r="47">
          <cell r="C47"/>
        </row>
        <row r="48">
          <cell r="C48"/>
        </row>
        <row r="49">
          <cell r="C49"/>
        </row>
        <row r="50">
          <cell r="C50"/>
        </row>
        <row r="51">
          <cell r="C51"/>
        </row>
        <row r="52">
          <cell r="C52"/>
        </row>
        <row r="53">
          <cell r="C53"/>
        </row>
        <row r="54">
          <cell r="C54"/>
        </row>
        <row r="55">
          <cell r="C55"/>
        </row>
        <row r="56">
          <cell r="C56"/>
        </row>
        <row r="57">
          <cell r="C57"/>
        </row>
        <row r="58">
          <cell r="C58"/>
        </row>
        <row r="59">
          <cell r="C59"/>
        </row>
        <row r="60">
          <cell r="C60"/>
        </row>
        <row r="61">
          <cell r="C61"/>
        </row>
        <row r="62">
          <cell r="C62"/>
        </row>
        <row r="63">
          <cell r="C63"/>
        </row>
        <row r="64">
          <cell r="C64"/>
        </row>
        <row r="65">
          <cell r="C65"/>
        </row>
        <row r="66">
          <cell r="C66"/>
        </row>
        <row r="67">
          <cell r="C67"/>
        </row>
        <row r="68">
          <cell r="C68"/>
        </row>
        <row r="69">
          <cell r="C69"/>
        </row>
        <row r="70">
          <cell r="C70"/>
        </row>
        <row r="71">
          <cell r="C71"/>
        </row>
        <row r="72">
          <cell r="C72"/>
        </row>
        <row r="73">
          <cell r="C73"/>
        </row>
        <row r="74">
          <cell r="C74"/>
        </row>
        <row r="75">
          <cell r="C75"/>
        </row>
        <row r="76">
          <cell r="C76"/>
        </row>
        <row r="77">
          <cell r="C77"/>
        </row>
        <row r="78">
          <cell r="C78"/>
        </row>
        <row r="79">
          <cell r="C79"/>
        </row>
        <row r="80">
          <cell r="C80"/>
        </row>
      </sheetData>
      <sheetData sheetId="2">
        <row r="32">
          <cell r="C32"/>
        </row>
        <row r="33">
          <cell r="C33"/>
        </row>
        <row r="34">
          <cell r="C34"/>
        </row>
        <row r="35">
          <cell r="C35"/>
        </row>
        <row r="36">
          <cell r="C36"/>
        </row>
        <row r="37">
          <cell r="C37"/>
        </row>
        <row r="38">
          <cell r="C38"/>
        </row>
        <row r="39">
          <cell r="C39"/>
        </row>
        <row r="40">
          <cell r="C40"/>
        </row>
        <row r="41">
          <cell r="C41"/>
        </row>
        <row r="42">
          <cell r="C42"/>
        </row>
        <row r="43">
          <cell r="C43"/>
        </row>
        <row r="44">
          <cell r="C44"/>
        </row>
        <row r="45">
          <cell r="C45"/>
        </row>
        <row r="46">
          <cell r="C46"/>
        </row>
        <row r="47">
          <cell r="C47"/>
        </row>
        <row r="48">
          <cell r="C48"/>
        </row>
        <row r="49">
          <cell r="C49"/>
        </row>
        <row r="50">
          <cell r="C50"/>
        </row>
        <row r="51">
          <cell r="C51"/>
        </row>
        <row r="52">
          <cell r="C52"/>
        </row>
        <row r="53">
          <cell r="C53"/>
        </row>
        <row r="54">
          <cell r="C54"/>
        </row>
        <row r="55">
          <cell r="C55"/>
        </row>
        <row r="56">
          <cell r="C56"/>
        </row>
        <row r="57">
          <cell r="C57"/>
        </row>
        <row r="58">
          <cell r="C58"/>
        </row>
        <row r="59">
          <cell r="C59"/>
        </row>
        <row r="60">
          <cell r="C60"/>
        </row>
        <row r="61">
          <cell r="C61"/>
        </row>
        <row r="62">
          <cell r="C62"/>
        </row>
        <row r="63">
          <cell r="C63"/>
        </row>
        <row r="64">
          <cell r="C64"/>
        </row>
        <row r="65">
          <cell r="C65"/>
        </row>
        <row r="66">
          <cell r="C66"/>
        </row>
        <row r="67">
          <cell r="C67"/>
        </row>
        <row r="68">
          <cell r="C68"/>
        </row>
        <row r="69">
          <cell r="C69"/>
        </row>
        <row r="70">
          <cell r="C70"/>
        </row>
        <row r="71">
          <cell r="C71"/>
        </row>
        <row r="72">
          <cell r="C72"/>
        </row>
        <row r="73">
          <cell r="C73"/>
        </row>
        <row r="74">
          <cell r="C74"/>
        </row>
        <row r="75">
          <cell r="C75"/>
        </row>
        <row r="76">
          <cell r="C76"/>
        </row>
        <row r="77">
          <cell r="C77"/>
        </row>
        <row r="78">
          <cell r="C78"/>
        </row>
        <row r="79">
          <cell r="C79"/>
        </row>
        <row r="80">
          <cell r="C80"/>
        </row>
      </sheetData>
      <sheetData sheetId="3"/>
      <sheetData sheetId="4">
        <row r="9">
          <cell r="C9" t="str">
            <v>Aka</v>
          </cell>
        </row>
        <row r="10">
          <cell r="C10" t="str">
            <v>Ácsteszér</v>
          </cell>
        </row>
        <row r="11">
          <cell r="C11" t="str">
            <v>Ábrahámhegy</v>
          </cell>
        </row>
        <row r="12">
          <cell r="C12" t="str">
            <v>Abaújlak</v>
          </cell>
        </row>
        <row r="13">
          <cell r="C13" t="str">
            <v>Acsa</v>
          </cell>
        </row>
        <row r="14">
          <cell r="C14" t="str">
            <v>Dötk</v>
          </cell>
        </row>
        <row r="15">
          <cell r="C15" t="str">
            <v>Felsőszenterzsébet</v>
          </cell>
        </row>
        <row r="28">
          <cell r="C28"/>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talomjegyzék"/>
      <sheetName val="Címrend"/>
      <sheetName val="Bevétel_kiadásegyüttesen_1_m_"/>
      <sheetName val="Bevételekmindössszesen_2_m_"/>
      <sheetName val="PolgármesteriHiv_szakf__3_m__"/>
      <sheetName val="Bevételekrészletezve_4__"/>
      <sheetName val="Kiadásokösszesen_5__"/>
      <sheetName val="Kiadásokösszesítveint__6__"/>
      <sheetName val="Bevét_kiadásintézm__7__"/>
      <sheetName val="Intézményipótlékok"/>
      <sheetName val="Létszámadatok"/>
      <sheetName val="Polg_Hiv_szakfeladkiadásai"/>
      <sheetName val="Polg_Hiv_kiadásai_11_16_m__"/>
      <sheetName val="öbbéveselkötelezettség"/>
      <sheetName val="NémetNemz_Kis_Önkorm_ktgvet_"/>
      <sheetName val="Munka13_2_"/>
      <sheetName val="Munka2"/>
      <sheetName val="Intézm_felhalm_kiadások"/>
      <sheetName val="Intézményirészletezettkiadás_"/>
      <sheetName val="Államinormatíva2003"/>
      <sheetName val="Társ_szervektámogatásai2002_"/>
    </sheetNames>
    <sheetDataSet>
      <sheetData sheetId="0"/>
      <sheetData sheetId="1"/>
      <sheetData sheetId="2"/>
      <sheetData sheetId="3"/>
      <sheetData sheetId="4">
        <row r="4">
          <cell r="A4" t="str">
            <v xml:space="preserve">Polgármesteri Hivatal 2002. évi   bevételi előirányzata </v>
          </cell>
        </row>
        <row r="5">
          <cell r="A5" t="str">
            <v>szakfeladatonkénti összesítése</v>
          </cell>
        </row>
        <row r="6">
          <cell r="E6" t="str">
            <v>3.sz. melléklet</v>
          </cell>
        </row>
        <row r="7">
          <cell r="E7" t="str">
            <v>ezer Ft-ban</v>
          </cell>
        </row>
        <row r="8">
          <cell r="E8" t="str">
            <v>Módosított</v>
          </cell>
        </row>
        <row r="9">
          <cell r="A9" t="str">
            <v>Alcím</v>
          </cell>
          <cell r="B9" t="str">
            <v>Szakfeladatok</v>
          </cell>
          <cell r="C9" t="str">
            <v>Előirányzat</v>
          </cell>
          <cell r="D9" t="str">
            <v>Módosítás</v>
          </cell>
          <cell r="E9" t="str">
            <v>előirányzat</v>
          </cell>
        </row>
        <row r="10">
          <cell r="B10" t="str">
            <v>megnevezése</v>
          </cell>
          <cell r="C10">
            <v>2002</v>
          </cell>
          <cell r="E10">
            <v>2002</v>
          </cell>
        </row>
        <row r="12">
          <cell r="A12">
            <v>5</v>
          </cell>
          <cell r="B12" t="str">
            <v>Kisegítő mezőgazdasági tevék.</v>
          </cell>
          <cell r="C12">
            <v>75</v>
          </cell>
          <cell r="D12">
            <v>0</v>
          </cell>
          <cell r="E12">
            <v>75</v>
          </cell>
        </row>
        <row r="13">
          <cell r="A13">
            <v>6</v>
          </cell>
          <cell r="B13" t="str">
            <v>Könyv- és zeneműkiadás</v>
          </cell>
          <cell r="C13">
            <v>560</v>
          </cell>
          <cell r="D13">
            <v>0</v>
          </cell>
          <cell r="E13">
            <v>560</v>
          </cell>
        </row>
        <row r="14">
          <cell r="A14">
            <v>7</v>
          </cell>
          <cell r="B14" t="str">
            <v>Lapkiadás</v>
          </cell>
          <cell r="C14">
            <v>2420</v>
          </cell>
          <cell r="D14">
            <v>0</v>
          </cell>
          <cell r="E14">
            <v>2420</v>
          </cell>
        </row>
        <row r="15">
          <cell r="A15">
            <v>9</v>
          </cell>
          <cell r="B15" t="str">
            <v>Üdültetés</v>
          </cell>
          <cell r="C15">
            <v>8832</v>
          </cell>
          <cell r="D15">
            <v>0</v>
          </cell>
          <cell r="E15">
            <v>8832</v>
          </cell>
        </row>
        <row r="16">
          <cell r="A16">
            <v>11</v>
          </cell>
          <cell r="B16" t="str">
            <v>Saját v.bérelt ingatlan hasznositás</v>
          </cell>
          <cell r="C16">
            <v>8750</v>
          </cell>
          <cell r="D16">
            <v>105000</v>
          </cell>
          <cell r="E16">
            <v>8750</v>
          </cell>
        </row>
        <row r="17">
          <cell r="A17">
            <v>12</v>
          </cell>
          <cell r="B17" t="str">
            <v>Önkormányzatok igazgatási tevékenysége</v>
          </cell>
          <cell r="C17">
            <v>82646</v>
          </cell>
          <cell r="D17">
            <v>20582</v>
          </cell>
          <cell r="E17">
            <v>103228</v>
          </cell>
        </row>
        <row r="18">
          <cell r="B18" t="str">
            <v>Folyószámlahitel igénybevétel</v>
          </cell>
          <cell r="C18">
            <v>100000</v>
          </cell>
          <cell r="D18">
            <v>0</v>
          </cell>
          <cell r="E18">
            <v>100000</v>
          </cell>
        </row>
        <row r="19">
          <cell r="B19" t="str">
            <v>Fejlesztési célhitel igénybevétel</v>
          </cell>
          <cell r="C19">
            <v>15000</v>
          </cell>
          <cell r="D19">
            <v>0</v>
          </cell>
          <cell r="E19">
            <v>15000</v>
          </cell>
        </row>
        <row r="20">
          <cell r="A20">
            <v>14</v>
          </cell>
          <cell r="B20" t="str">
            <v xml:space="preserve">Okmányiroda </v>
          </cell>
          <cell r="C20">
            <v>6000</v>
          </cell>
          <cell r="D20">
            <v>0</v>
          </cell>
          <cell r="E20">
            <v>6000</v>
          </cell>
        </row>
        <row r="21">
          <cell r="A21">
            <v>16</v>
          </cell>
          <cell r="B21" t="str">
            <v>Német Nemzetiségi Kisebbségi Önkormányzat</v>
          </cell>
          <cell r="C21">
            <v>5200</v>
          </cell>
          <cell r="D21">
            <v>1397</v>
          </cell>
          <cell r="E21">
            <v>6597</v>
          </cell>
        </row>
        <row r="22">
          <cell r="A22">
            <v>17</v>
          </cell>
          <cell r="B22" t="str">
            <v>Város és községgazdálkodási szolgáltatás</v>
          </cell>
          <cell r="C22">
            <v>500</v>
          </cell>
          <cell r="D22">
            <v>587</v>
          </cell>
          <cell r="E22">
            <v>500</v>
          </cell>
        </row>
        <row r="23">
          <cell r="A23">
            <v>18</v>
          </cell>
          <cell r="B23" t="str">
            <v>Köztemető fenntartás, üzemeltetés</v>
          </cell>
          <cell r="C23">
            <v>875</v>
          </cell>
          <cell r="D23">
            <v>2742</v>
          </cell>
          <cell r="E23">
            <v>3617</v>
          </cell>
        </row>
        <row r="24">
          <cell r="A24">
            <v>21</v>
          </cell>
          <cell r="B24" t="str">
            <v>Önkorm.-i feladatranem tervezhető elszámolás</v>
          </cell>
          <cell r="C24">
            <v>1120954</v>
          </cell>
          <cell r="D24">
            <v>8992</v>
          </cell>
          <cell r="E24">
            <v>1129946</v>
          </cell>
        </row>
        <row r="25">
          <cell r="B25" t="str">
            <v>Fejl.c.p.e.átvétel lakosságtól</v>
          </cell>
        </row>
        <row r="26">
          <cell r="A26">
            <v>22</v>
          </cell>
          <cell r="B26" t="str">
            <v>Állategészségügyi tevékenység</v>
          </cell>
          <cell r="C26">
            <v>616</v>
          </cell>
          <cell r="D26">
            <v>0</v>
          </cell>
          <cell r="E26">
            <v>616</v>
          </cell>
        </row>
        <row r="27">
          <cell r="A27">
            <v>25</v>
          </cell>
          <cell r="B27" t="str">
            <v>Szennyvízelvezetésés kezelés</v>
          </cell>
        </row>
        <row r="28">
          <cell r="A28">
            <v>26</v>
          </cell>
          <cell r="B28" t="str">
            <v>Települési hulladékokkezelési köztisztasági bev.</v>
          </cell>
          <cell r="C28">
            <v>4928</v>
          </cell>
          <cell r="D28">
            <v>0</v>
          </cell>
          <cell r="E28">
            <v>4928</v>
          </cell>
        </row>
        <row r="29">
          <cell r="A29">
            <v>27</v>
          </cell>
          <cell r="B29" t="str">
            <v>Közművelődési könyvtár</v>
          </cell>
          <cell r="C29">
            <v>1110</v>
          </cell>
          <cell r="D29">
            <v>0</v>
          </cell>
          <cell r="E29">
            <v>1110</v>
          </cell>
        </row>
        <row r="30">
          <cell r="A30">
            <v>28</v>
          </cell>
          <cell r="B30" t="str">
            <v>Mük.c.pénze.átv.kp.sz. Munk.n.Jöv.pótló</v>
          </cell>
          <cell r="C30">
            <v>0</v>
          </cell>
          <cell r="D30">
            <v>-1354</v>
          </cell>
          <cell r="E30">
            <v>-1354</v>
          </cell>
        </row>
        <row r="31">
          <cell r="B31" t="str">
            <v>Összesen</v>
          </cell>
          <cell r="C31">
            <v>1358466</v>
          </cell>
          <cell r="D31">
            <v>137946</v>
          </cell>
          <cell r="E31">
            <v>1496412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talomjegyzék"/>
      <sheetName val="Címrend"/>
      <sheetName val="Bevétel_kiadásegyüttesen_1_m_"/>
      <sheetName val="Bevételekmindössszesen_2_m_"/>
      <sheetName val="PolgármesteriHiv_szakf__3_m__"/>
      <sheetName val="Bevételekrészletezve_4__"/>
      <sheetName val="Kiadásokösszesen_5__"/>
      <sheetName val="Kiadásokösszesítveint__6__"/>
      <sheetName val="Bevét_kiadásintézm__7__"/>
      <sheetName val="Intézményipótlékok"/>
      <sheetName val="Létszámadatok"/>
      <sheetName val="Polg_Hiv_szakfeladkiadásai"/>
      <sheetName val="Polg_Hiv_kiadásai_11_16_m__"/>
      <sheetName val="öbbéveselkötelezettség"/>
      <sheetName val="NémetNemz_Kis_Önkorm_ktgvet_"/>
      <sheetName val="Munka13_2_"/>
      <sheetName val="Munka2"/>
      <sheetName val="Intézm_felhalm_kiadások"/>
      <sheetName val="Intézményirészletezettkiadás_"/>
      <sheetName val="Államinormatíva2003"/>
      <sheetName val="Társ_szervektámogatásai2002_"/>
    </sheetNames>
    <sheetDataSet>
      <sheetData sheetId="0"/>
      <sheetData sheetId="1"/>
      <sheetData sheetId="2"/>
      <sheetData sheetId="3"/>
      <sheetData sheetId="4">
        <row r="4">
          <cell r="A4" t="str">
            <v xml:space="preserve">Polgármesteri Hivatal 2002. évi   bevételi előirányzata </v>
          </cell>
        </row>
        <row r="5">
          <cell r="A5" t="str">
            <v>szakfeladatonkénti összesítése</v>
          </cell>
        </row>
        <row r="6">
          <cell r="E6" t="str">
            <v>3.sz. melléklet</v>
          </cell>
        </row>
        <row r="7">
          <cell r="E7" t="str">
            <v>ezer Ft-ban</v>
          </cell>
        </row>
        <row r="8">
          <cell r="E8" t="str">
            <v>Módosított</v>
          </cell>
        </row>
        <row r="9">
          <cell r="A9" t="str">
            <v>Alcím</v>
          </cell>
          <cell r="B9" t="str">
            <v>Szakfeladatok</v>
          </cell>
          <cell r="C9" t="str">
            <v>Előirányzat</v>
          </cell>
          <cell r="D9" t="str">
            <v>Módosítás</v>
          </cell>
          <cell r="E9" t="str">
            <v>előirányzat</v>
          </cell>
        </row>
        <row r="10">
          <cell r="B10" t="str">
            <v>megnevezése</v>
          </cell>
          <cell r="C10">
            <v>2002</v>
          </cell>
          <cell r="E10">
            <v>2002</v>
          </cell>
        </row>
        <row r="12">
          <cell r="A12">
            <v>5</v>
          </cell>
          <cell r="B12" t="str">
            <v>Kisegítő mezőgazdasági tevék.</v>
          </cell>
          <cell r="C12">
            <v>75</v>
          </cell>
          <cell r="D12">
            <v>0</v>
          </cell>
          <cell r="E12">
            <v>75</v>
          </cell>
        </row>
        <row r="13">
          <cell r="A13">
            <v>6</v>
          </cell>
          <cell r="B13" t="str">
            <v>Könyv- és zeneműkiadás</v>
          </cell>
          <cell r="C13">
            <v>560</v>
          </cell>
          <cell r="D13">
            <v>0</v>
          </cell>
          <cell r="E13">
            <v>560</v>
          </cell>
        </row>
        <row r="14">
          <cell r="A14">
            <v>7</v>
          </cell>
          <cell r="B14" t="str">
            <v>Lapkiadás</v>
          </cell>
          <cell r="C14">
            <v>2420</v>
          </cell>
          <cell r="D14">
            <v>0</v>
          </cell>
          <cell r="E14">
            <v>2420</v>
          </cell>
        </row>
        <row r="15">
          <cell r="A15">
            <v>9</v>
          </cell>
          <cell r="B15" t="str">
            <v>Üdültetés</v>
          </cell>
          <cell r="C15">
            <v>8832</v>
          </cell>
          <cell r="D15">
            <v>0</v>
          </cell>
          <cell r="E15">
            <v>8832</v>
          </cell>
        </row>
        <row r="16">
          <cell r="A16">
            <v>11</v>
          </cell>
          <cell r="B16" t="str">
            <v>Saját v.bérelt ingatlan hasznositás</v>
          </cell>
          <cell r="C16">
            <v>8750</v>
          </cell>
          <cell r="D16">
            <v>105000</v>
          </cell>
          <cell r="E16">
            <v>8750</v>
          </cell>
        </row>
        <row r="17">
          <cell r="A17">
            <v>12</v>
          </cell>
          <cell r="B17" t="str">
            <v>Önkormányzatok igazgatási tevékenysége</v>
          </cell>
          <cell r="C17">
            <v>82646</v>
          </cell>
          <cell r="D17">
            <v>20582</v>
          </cell>
          <cell r="E17">
            <v>103228</v>
          </cell>
        </row>
        <row r="18">
          <cell r="B18" t="str">
            <v>Folyószámlahitel igénybevétel</v>
          </cell>
          <cell r="C18">
            <v>100000</v>
          </cell>
          <cell r="D18">
            <v>0</v>
          </cell>
          <cell r="E18">
            <v>100000</v>
          </cell>
        </row>
        <row r="19">
          <cell r="B19" t="str">
            <v>Fejlesztési célhitel igénybevétel</v>
          </cell>
          <cell r="C19">
            <v>15000</v>
          </cell>
          <cell r="D19">
            <v>0</v>
          </cell>
          <cell r="E19">
            <v>15000</v>
          </cell>
        </row>
        <row r="20">
          <cell r="A20">
            <v>14</v>
          </cell>
          <cell r="B20" t="str">
            <v xml:space="preserve">Okmányiroda </v>
          </cell>
          <cell r="C20">
            <v>6000</v>
          </cell>
          <cell r="D20">
            <v>0</v>
          </cell>
          <cell r="E20">
            <v>6000</v>
          </cell>
        </row>
        <row r="21">
          <cell r="A21">
            <v>16</v>
          </cell>
          <cell r="B21" t="str">
            <v>Német Nemzetiségi Kisebbségi Önkormányzat</v>
          </cell>
          <cell r="C21">
            <v>5200</v>
          </cell>
          <cell r="D21">
            <v>1397</v>
          </cell>
          <cell r="E21">
            <v>6597</v>
          </cell>
        </row>
        <row r="22">
          <cell r="A22">
            <v>17</v>
          </cell>
          <cell r="B22" t="str">
            <v>Város és községgazdálkodási szolgáltatás</v>
          </cell>
          <cell r="C22">
            <v>500</v>
          </cell>
          <cell r="D22">
            <v>587</v>
          </cell>
          <cell r="E22">
            <v>500</v>
          </cell>
        </row>
        <row r="23">
          <cell r="A23">
            <v>18</v>
          </cell>
          <cell r="B23" t="str">
            <v>Köztemető fenntartás, üzemeltetés</v>
          </cell>
          <cell r="C23">
            <v>875</v>
          </cell>
          <cell r="D23">
            <v>2742</v>
          </cell>
          <cell r="E23">
            <v>3617</v>
          </cell>
        </row>
        <row r="24">
          <cell r="A24">
            <v>21</v>
          </cell>
          <cell r="B24" t="str">
            <v>Önkorm.-i feladatranem tervezhető elszámolás</v>
          </cell>
          <cell r="C24">
            <v>1120954</v>
          </cell>
          <cell r="D24">
            <v>8992</v>
          </cell>
          <cell r="E24">
            <v>1129946</v>
          </cell>
        </row>
        <row r="25">
          <cell r="B25" t="str">
            <v>Fejl.c.p.e.átvétel lakosságtól</v>
          </cell>
        </row>
        <row r="26">
          <cell r="A26">
            <v>22</v>
          </cell>
          <cell r="B26" t="str">
            <v>Állategészségügyi tevékenység</v>
          </cell>
          <cell r="C26">
            <v>616</v>
          </cell>
          <cell r="D26">
            <v>0</v>
          </cell>
          <cell r="E26">
            <v>616</v>
          </cell>
        </row>
        <row r="27">
          <cell r="A27">
            <v>25</v>
          </cell>
          <cell r="B27" t="str">
            <v>Szennyvízelvezetésés kezelés</v>
          </cell>
        </row>
        <row r="28">
          <cell r="A28">
            <v>26</v>
          </cell>
          <cell r="B28" t="str">
            <v>Települési hulladékokkezelési köztisztasági bev.</v>
          </cell>
          <cell r="C28">
            <v>4928</v>
          </cell>
          <cell r="D28">
            <v>0</v>
          </cell>
          <cell r="E28">
            <v>4928</v>
          </cell>
        </row>
        <row r="29">
          <cell r="A29">
            <v>27</v>
          </cell>
          <cell r="B29" t="str">
            <v>Közművelődési könyvtár</v>
          </cell>
          <cell r="C29">
            <v>1110</v>
          </cell>
          <cell r="D29">
            <v>0</v>
          </cell>
          <cell r="E29">
            <v>1110</v>
          </cell>
        </row>
        <row r="30">
          <cell r="A30">
            <v>28</v>
          </cell>
          <cell r="B30" t="str">
            <v>Mük.c.pénze.átv.kp.sz. Munk.n.Jöv.pótló</v>
          </cell>
          <cell r="C30">
            <v>0</v>
          </cell>
          <cell r="D30">
            <v>-1354</v>
          </cell>
          <cell r="E30">
            <v>-1354</v>
          </cell>
        </row>
        <row r="31">
          <cell r="B31" t="str">
            <v>Összesen</v>
          </cell>
          <cell r="C31">
            <v>1358466</v>
          </cell>
          <cell r="D31">
            <v>137946</v>
          </cell>
          <cell r="E31">
            <v>1496412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talomjegyzék"/>
      <sheetName val="Címrend"/>
      <sheetName val="Bevétel_kiadásegyüttesen_1_m_"/>
      <sheetName val="Bevételekmindössszesen_2_m_"/>
      <sheetName val="PolgármesteriHiv_szakf__3_m__"/>
      <sheetName val="Bevételekrészletezve_4__"/>
      <sheetName val="Kiadásokösszesen_5__"/>
      <sheetName val="Kiadásokösszesítveint__6__"/>
      <sheetName val="Bevét_kiadásintézm__7__"/>
      <sheetName val="Intézményipótlékok"/>
      <sheetName val="Létszámadatok"/>
      <sheetName val="Polg_Hiv_szakfeladkiadásai"/>
      <sheetName val="Polg_Hiv_kiadásai_11_16_m__"/>
      <sheetName val="öbbéveselkötelezettség"/>
      <sheetName val="NémetNemz_Kis_Önkorm_ktgvet_"/>
      <sheetName val="Munka13_2_"/>
      <sheetName val="Munka2"/>
      <sheetName val="Intézm_felhalm_kiadások"/>
      <sheetName val="Intézményirészletezettkiadás_"/>
      <sheetName val="Államinormatíva2003"/>
      <sheetName val="Társ_szervektámogatásai2002_"/>
    </sheetNames>
    <sheetDataSet>
      <sheetData sheetId="0"/>
      <sheetData sheetId="1"/>
      <sheetData sheetId="2"/>
      <sheetData sheetId="3"/>
      <sheetData sheetId="4">
        <row r="4">
          <cell r="A4" t="str">
            <v xml:space="preserve">Polgármesteri Hivatal 2002. évi   bevételi előirányzata </v>
          </cell>
        </row>
        <row r="5">
          <cell r="A5" t="str">
            <v>szakfeladatonkénti összesítése</v>
          </cell>
        </row>
        <row r="6">
          <cell r="E6" t="str">
            <v>3.sz. melléklet</v>
          </cell>
        </row>
        <row r="7">
          <cell r="E7" t="str">
            <v>ezer Ft-ban</v>
          </cell>
        </row>
        <row r="8">
          <cell r="E8" t="str">
            <v>Módosított</v>
          </cell>
        </row>
        <row r="9">
          <cell r="A9" t="str">
            <v>Alcím</v>
          </cell>
          <cell r="B9" t="str">
            <v>Szakfeladatok</v>
          </cell>
          <cell r="C9" t="str">
            <v>Előirányzat</v>
          </cell>
          <cell r="D9" t="str">
            <v>Módosítás</v>
          </cell>
          <cell r="E9" t="str">
            <v>előirányzat</v>
          </cell>
        </row>
        <row r="10">
          <cell r="B10" t="str">
            <v>megnevezése</v>
          </cell>
          <cell r="C10">
            <v>2002</v>
          </cell>
          <cell r="E10">
            <v>2002</v>
          </cell>
        </row>
        <row r="12">
          <cell r="A12">
            <v>5</v>
          </cell>
          <cell r="B12" t="str">
            <v>Kisegítő mezőgazdasági tevék.</v>
          </cell>
          <cell r="C12">
            <v>75</v>
          </cell>
          <cell r="D12">
            <v>0</v>
          </cell>
          <cell r="E12">
            <v>75</v>
          </cell>
        </row>
        <row r="13">
          <cell r="A13">
            <v>6</v>
          </cell>
          <cell r="B13" t="str">
            <v>Könyv- és zeneműkiadás</v>
          </cell>
          <cell r="C13">
            <v>560</v>
          </cell>
          <cell r="D13">
            <v>0</v>
          </cell>
          <cell r="E13">
            <v>560</v>
          </cell>
        </row>
        <row r="14">
          <cell r="A14">
            <v>7</v>
          </cell>
          <cell r="B14" t="str">
            <v>Lapkiadás</v>
          </cell>
          <cell r="C14">
            <v>2420</v>
          </cell>
          <cell r="D14">
            <v>0</v>
          </cell>
          <cell r="E14">
            <v>2420</v>
          </cell>
        </row>
        <row r="15">
          <cell r="A15">
            <v>9</v>
          </cell>
          <cell r="B15" t="str">
            <v>Üdültetés</v>
          </cell>
          <cell r="C15">
            <v>8832</v>
          </cell>
          <cell r="D15">
            <v>0</v>
          </cell>
          <cell r="E15">
            <v>8832</v>
          </cell>
        </row>
        <row r="16">
          <cell r="A16">
            <v>11</v>
          </cell>
          <cell r="B16" t="str">
            <v>Saját v.bérelt ingatlan hasznositás</v>
          </cell>
          <cell r="C16">
            <v>8750</v>
          </cell>
          <cell r="D16">
            <v>105000</v>
          </cell>
          <cell r="E16">
            <v>8750</v>
          </cell>
        </row>
        <row r="17">
          <cell r="A17">
            <v>12</v>
          </cell>
          <cell r="B17" t="str">
            <v>Önkormányzatok igazgatási tevékenysége</v>
          </cell>
          <cell r="C17">
            <v>82646</v>
          </cell>
          <cell r="D17">
            <v>20582</v>
          </cell>
          <cell r="E17">
            <v>103228</v>
          </cell>
        </row>
        <row r="18">
          <cell r="B18" t="str">
            <v>Folyószámlahitel igénybevétel</v>
          </cell>
          <cell r="C18">
            <v>100000</v>
          </cell>
          <cell r="D18">
            <v>0</v>
          </cell>
          <cell r="E18">
            <v>100000</v>
          </cell>
        </row>
        <row r="19">
          <cell r="B19" t="str">
            <v>Fejlesztési célhitel igénybevétel</v>
          </cell>
          <cell r="C19">
            <v>15000</v>
          </cell>
          <cell r="D19">
            <v>0</v>
          </cell>
          <cell r="E19">
            <v>15000</v>
          </cell>
        </row>
        <row r="20">
          <cell r="A20">
            <v>14</v>
          </cell>
          <cell r="B20" t="str">
            <v xml:space="preserve">Okmányiroda </v>
          </cell>
          <cell r="C20">
            <v>6000</v>
          </cell>
          <cell r="D20">
            <v>0</v>
          </cell>
          <cell r="E20">
            <v>6000</v>
          </cell>
        </row>
        <row r="21">
          <cell r="A21">
            <v>16</v>
          </cell>
          <cell r="B21" t="str">
            <v>Német Nemzetiségi Kisebbségi Önkormányzat</v>
          </cell>
          <cell r="C21">
            <v>5200</v>
          </cell>
          <cell r="D21">
            <v>1397</v>
          </cell>
          <cell r="E21">
            <v>6597</v>
          </cell>
        </row>
        <row r="22">
          <cell r="A22">
            <v>17</v>
          </cell>
          <cell r="B22" t="str">
            <v>Város és községgazdálkodási szolgáltatás</v>
          </cell>
          <cell r="C22">
            <v>500</v>
          </cell>
          <cell r="D22">
            <v>587</v>
          </cell>
          <cell r="E22">
            <v>500</v>
          </cell>
        </row>
        <row r="23">
          <cell r="A23">
            <v>18</v>
          </cell>
          <cell r="B23" t="str">
            <v>Köztemető fenntartás, üzemeltetés</v>
          </cell>
          <cell r="C23">
            <v>875</v>
          </cell>
          <cell r="D23">
            <v>2742</v>
          </cell>
          <cell r="E23">
            <v>3617</v>
          </cell>
        </row>
        <row r="24">
          <cell r="A24">
            <v>21</v>
          </cell>
          <cell r="B24" t="str">
            <v>Önkorm.-i feladatranem tervezhető elszámolás</v>
          </cell>
          <cell r="C24">
            <v>1120954</v>
          </cell>
          <cell r="D24">
            <v>8992</v>
          </cell>
          <cell r="E24">
            <v>1129946</v>
          </cell>
        </row>
        <row r="25">
          <cell r="B25" t="str">
            <v>Fejl.c.p.e.átvétel lakosságtól</v>
          </cell>
        </row>
        <row r="26">
          <cell r="A26">
            <v>22</v>
          </cell>
          <cell r="B26" t="str">
            <v>Állategészségügyi tevékenység</v>
          </cell>
          <cell r="C26">
            <v>616</v>
          </cell>
          <cell r="D26">
            <v>0</v>
          </cell>
          <cell r="E26">
            <v>616</v>
          </cell>
        </row>
        <row r="27">
          <cell r="A27">
            <v>25</v>
          </cell>
          <cell r="B27" t="str">
            <v>Szennyvízelvezetésés kezelés</v>
          </cell>
        </row>
        <row r="28">
          <cell r="A28">
            <v>26</v>
          </cell>
          <cell r="B28" t="str">
            <v>Települési hulladékokkezelési köztisztasági bev.</v>
          </cell>
          <cell r="C28">
            <v>4928</v>
          </cell>
          <cell r="D28">
            <v>0</v>
          </cell>
          <cell r="E28">
            <v>4928</v>
          </cell>
        </row>
        <row r="29">
          <cell r="A29">
            <v>27</v>
          </cell>
          <cell r="B29" t="str">
            <v>Közművelődési könyvtár</v>
          </cell>
          <cell r="C29">
            <v>1110</v>
          </cell>
          <cell r="D29">
            <v>0</v>
          </cell>
          <cell r="E29">
            <v>1110</v>
          </cell>
        </row>
        <row r="30">
          <cell r="A30">
            <v>28</v>
          </cell>
          <cell r="B30" t="str">
            <v>Mük.c.pénze.átv.kp.sz. Munk.n.Jöv.pótló</v>
          </cell>
          <cell r="C30">
            <v>0</v>
          </cell>
          <cell r="D30">
            <v>-1354</v>
          </cell>
          <cell r="E30">
            <v>-1354</v>
          </cell>
        </row>
        <row r="31">
          <cell r="B31" t="str">
            <v>Összesen</v>
          </cell>
          <cell r="C31">
            <v>1358466</v>
          </cell>
          <cell r="D31">
            <v>137946</v>
          </cell>
          <cell r="E31">
            <v>1496412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talomjegyzék"/>
      <sheetName val="Címrend"/>
      <sheetName val="Bevétel_kiadásegyüttesen_1_m_"/>
      <sheetName val="Bevételekmindössszesen_2_m_"/>
      <sheetName val="PolgármesteriHiv_szakf__3_m__"/>
      <sheetName val="Bevételekrészletezve_4__"/>
      <sheetName val="Kiadásokösszesen_5__"/>
      <sheetName val="Kiadásokösszesítveint__6__"/>
      <sheetName val="Bevét_kiadásintézm__7__"/>
      <sheetName val="Intézményipótlékok"/>
      <sheetName val="Létszámadatok"/>
      <sheetName val="Polg_Hiv_szakfeladkiadásai"/>
      <sheetName val="Polg_Hiv_kiadásai_11_16_m__"/>
      <sheetName val="öbbéveselkötelezettség"/>
      <sheetName val="NémetNemz_Kis_Önkorm_ktgvet_"/>
      <sheetName val="Munka13_2_"/>
      <sheetName val="Munka2"/>
      <sheetName val="Intézm_felhalm_kiadások"/>
      <sheetName val="Intézményirészletezettkiadás_"/>
      <sheetName val="Államinormatíva2003"/>
      <sheetName val="Társ_szervektámogatásai2002_"/>
    </sheetNames>
    <sheetDataSet>
      <sheetData sheetId="0"/>
      <sheetData sheetId="1"/>
      <sheetData sheetId="2"/>
      <sheetData sheetId="3"/>
      <sheetData sheetId="4">
        <row r="4">
          <cell r="A4" t="str">
            <v xml:space="preserve">Polgármesteri Hivatal 2002. évi   bevételi előirányzata </v>
          </cell>
        </row>
        <row r="5">
          <cell r="A5" t="str">
            <v>szakfeladatonkénti összesítése</v>
          </cell>
        </row>
        <row r="6">
          <cell r="E6" t="str">
            <v>3.sz. melléklet</v>
          </cell>
        </row>
        <row r="7">
          <cell r="E7" t="str">
            <v>ezer Ft-ban</v>
          </cell>
        </row>
        <row r="8">
          <cell r="E8" t="str">
            <v>Módosított</v>
          </cell>
        </row>
        <row r="9">
          <cell r="A9" t="str">
            <v>Alcím</v>
          </cell>
          <cell r="B9" t="str">
            <v>Szakfeladatok</v>
          </cell>
          <cell r="C9" t="str">
            <v>Előirányzat</v>
          </cell>
          <cell r="D9" t="str">
            <v>Módosítás</v>
          </cell>
          <cell r="E9" t="str">
            <v>előirányzat</v>
          </cell>
        </row>
        <row r="10">
          <cell r="B10" t="str">
            <v>megnevezése</v>
          </cell>
          <cell r="C10">
            <v>2002</v>
          </cell>
          <cell r="E10">
            <v>2002</v>
          </cell>
        </row>
        <row r="12">
          <cell r="A12">
            <v>5</v>
          </cell>
          <cell r="B12" t="str">
            <v>Kisegítő mezőgazdasági tevék.</v>
          </cell>
          <cell r="C12">
            <v>75</v>
          </cell>
          <cell r="D12">
            <v>0</v>
          </cell>
          <cell r="E12">
            <v>75</v>
          </cell>
        </row>
        <row r="13">
          <cell r="A13">
            <v>6</v>
          </cell>
          <cell r="B13" t="str">
            <v>Könyv- és zeneműkiadás</v>
          </cell>
          <cell r="C13">
            <v>560</v>
          </cell>
          <cell r="D13">
            <v>0</v>
          </cell>
          <cell r="E13">
            <v>560</v>
          </cell>
        </row>
        <row r="14">
          <cell r="A14">
            <v>7</v>
          </cell>
          <cell r="B14" t="str">
            <v>Lapkiadás</v>
          </cell>
          <cell r="C14">
            <v>2420</v>
          </cell>
          <cell r="D14">
            <v>0</v>
          </cell>
          <cell r="E14">
            <v>2420</v>
          </cell>
        </row>
        <row r="15">
          <cell r="A15">
            <v>9</v>
          </cell>
          <cell r="B15" t="str">
            <v>Üdültetés</v>
          </cell>
          <cell r="C15">
            <v>8832</v>
          </cell>
          <cell r="D15">
            <v>0</v>
          </cell>
          <cell r="E15">
            <v>8832</v>
          </cell>
        </row>
        <row r="16">
          <cell r="A16">
            <v>11</v>
          </cell>
          <cell r="B16" t="str">
            <v>Saját v.bérelt ingatlan hasznositás</v>
          </cell>
          <cell r="C16">
            <v>8750</v>
          </cell>
          <cell r="D16">
            <v>105000</v>
          </cell>
          <cell r="E16">
            <v>8750</v>
          </cell>
        </row>
        <row r="17">
          <cell r="A17">
            <v>12</v>
          </cell>
          <cell r="B17" t="str">
            <v>Önkormányzatok igazgatási tevékenysége</v>
          </cell>
          <cell r="C17">
            <v>82646</v>
          </cell>
          <cell r="D17">
            <v>20582</v>
          </cell>
          <cell r="E17">
            <v>103228</v>
          </cell>
        </row>
        <row r="18">
          <cell r="B18" t="str">
            <v>Folyószámlahitel igénybevétel</v>
          </cell>
          <cell r="C18">
            <v>100000</v>
          </cell>
          <cell r="D18">
            <v>0</v>
          </cell>
          <cell r="E18">
            <v>100000</v>
          </cell>
        </row>
        <row r="19">
          <cell r="B19" t="str">
            <v>Fejlesztési célhitel igénybevétel</v>
          </cell>
          <cell r="C19">
            <v>15000</v>
          </cell>
          <cell r="D19">
            <v>0</v>
          </cell>
          <cell r="E19">
            <v>15000</v>
          </cell>
        </row>
        <row r="20">
          <cell r="A20">
            <v>14</v>
          </cell>
          <cell r="B20" t="str">
            <v xml:space="preserve">Okmányiroda </v>
          </cell>
          <cell r="C20">
            <v>6000</v>
          </cell>
          <cell r="D20">
            <v>0</v>
          </cell>
          <cell r="E20">
            <v>6000</v>
          </cell>
        </row>
        <row r="21">
          <cell r="A21">
            <v>16</v>
          </cell>
          <cell r="B21" t="str">
            <v>Német Nemzetiségi Kisebbségi Önkormányzat</v>
          </cell>
          <cell r="C21">
            <v>5200</v>
          </cell>
          <cell r="D21">
            <v>1397</v>
          </cell>
          <cell r="E21">
            <v>6597</v>
          </cell>
        </row>
        <row r="22">
          <cell r="A22">
            <v>17</v>
          </cell>
          <cell r="B22" t="str">
            <v>Város és községgazdálkodási szolgáltatás</v>
          </cell>
          <cell r="C22">
            <v>500</v>
          </cell>
          <cell r="D22">
            <v>587</v>
          </cell>
          <cell r="E22">
            <v>500</v>
          </cell>
        </row>
        <row r="23">
          <cell r="A23">
            <v>18</v>
          </cell>
          <cell r="B23" t="str">
            <v>Köztemető fenntartás, üzemeltetés</v>
          </cell>
          <cell r="C23">
            <v>875</v>
          </cell>
          <cell r="D23">
            <v>2742</v>
          </cell>
          <cell r="E23">
            <v>3617</v>
          </cell>
        </row>
        <row r="24">
          <cell r="A24">
            <v>21</v>
          </cell>
          <cell r="B24" t="str">
            <v>Önkorm.-i feladatranem tervezhető elszámolás</v>
          </cell>
          <cell r="C24">
            <v>1120954</v>
          </cell>
          <cell r="D24">
            <v>8992</v>
          </cell>
          <cell r="E24">
            <v>1129946</v>
          </cell>
        </row>
        <row r="25">
          <cell r="B25" t="str">
            <v>Fejl.c.p.e.átvétel lakosságtól</v>
          </cell>
        </row>
        <row r="26">
          <cell r="A26">
            <v>22</v>
          </cell>
          <cell r="B26" t="str">
            <v>Állategészségügyi tevékenység</v>
          </cell>
          <cell r="C26">
            <v>616</v>
          </cell>
          <cell r="D26">
            <v>0</v>
          </cell>
          <cell r="E26">
            <v>616</v>
          </cell>
        </row>
        <row r="27">
          <cell r="A27">
            <v>25</v>
          </cell>
          <cell r="B27" t="str">
            <v>Szennyvízelvezetésés kezelés</v>
          </cell>
        </row>
        <row r="28">
          <cell r="A28">
            <v>26</v>
          </cell>
          <cell r="B28" t="str">
            <v>Települési hulladékokkezelési köztisztasági bev.</v>
          </cell>
          <cell r="C28">
            <v>4928</v>
          </cell>
          <cell r="D28">
            <v>0</v>
          </cell>
          <cell r="E28">
            <v>4928</v>
          </cell>
        </row>
        <row r="29">
          <cell r="A29">
            <v>27</v>
          </cell>
          <cell r="B29" t="str">
            <v>Közművelődési könyvtár</v>
          </cell>
          <cell r="C29">
            <v>1110</v>
          </cell>
          <cell r="D29">
            <v>0</v>
          </cell>
          <cell r="E29">
            <v>1110</v>
          </cell>
        </row>
        <row r="30">
          <cell r="A30">
            <v>28</v>
          </cell>
          <cell r="B30" t="str">
            <v>Mük.c.pénze.átv.kp.sz. Munk.n.Jöv.pótló</v>
          </cell>
          <cell r="C30">
            <v>0</v>
          </cell>
          <cell r="D30">
            <v>-1354</v>
          </cell>
          <cell r="E30">
            <v>-1354</v>
          </cell>
        </row>
        <row r="31">
          <cell r="B31" t="str">
            <v>Összesen</v>
          </cell>
          <cell r="C31">
            <v>1358466</v>
          </cell>
          <cell r="D31">
            <v>137946</v>
          </cell>
          <cell r="E31">
            <v>1496412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talomjegyzék"/>
      <sheetName val="Címrend"/>
      <sheetName val="Bevétel_kiadásegyüttesen_1_m_"/>
      <sheetName val="Bevételekmindössszesen_2_m_"/>
      <sheetName val="PolgármesteriHiv_szakf__3_m__"/>
      <sheetName val="Bevételekrészletezve_4__"/>
      <sheetName val="Kiadásokösszesen_5__"/>
      <sheetName val="Kiadásokösszesítveint__6__"/>
      <sheetName val="Bevét_kiadásintézm__7__"/>
      <sheetName val="Intézményipótlékok"/>
      <sheetName val="Létszámadatok"/>
      <sheetName val="Polg_Hiv_szakfeladkiadásai"/>
      <sheetName val="Polg_Hiv_kiadásai_11_16_m__"/>
      <sheetName val="öbbéveselkötelezettség"/>
      <sheetName val="NémetNemz_Kis_Önkorm_ktgvet_"/>
      <sheetName val="Munka13_2_"/>
      <sheetName val="Munka2"/>
      <sheetName val="Intézm_felhalm_kiadások"/>
      <sheetName val="Intézményirészletezettkiadás_"/>
      <sheetName val="Államinormatíva2003"/>
      <sheetName val="Társ_szervektámogatásai2002_"/>
    </sheetNames>
    <sheetDataSet>
      <sheetData sheetId="0"/>
      <sheetData sheetId="1"/>
      <sheetData sheetId="2"/>
      <sheetData sheetId="3"/>
      <sheetData sheetId="4">
        <row r="4">
          <cell r="A4" t="str">
            <v xml:space="preserve">Polgármesteri Hivatal 2002. évi   bevételi előirányzata </v>
          </cell>
        </row>
        <row r="5">
          <cell r="A5" t="str">
            <v>szakfeladatonkénti összesítése</v>
          </cell>
        </row>
        <row r="6">
          <cell r="E6" t="str">
            <v>3.sz. melléklet</v>
          </cell>
        </row>
        <row r="7">
          <cell r="E7" t="str">
            <v>ezer Ft-ban</v>
          </cell>
        </row>
        <row r="8">
          <cell r="E8" t="str">
            <v>Módosított</v>
          </cell>
        </row>
        <row r="9">
          <cell r="A9" t="str">
            <v>Alcím</v>
          </cell>
          <cell r="B9" t="str">
            <v>Szakfeladatok</v>
          </cell>
          <cell r="C9" t="str">
            <v>Előirányzat</v>
          </cell>
          <cell r="D9" t="str">
            <v>Módosítás</v>
          </cell>
          <cell r="E9" t="str">
            <v>előirányzat</v>
          </cell>
        </row>
        <row r="10">
          <cell r="B10" t="str">
            <v>megnevezése</v>
          </cell>
          <cell r="C10">
            <v>2002</v>
          </cell>
          <cell r="E10">
            <v>2002</v>
          </cell>
        </row>
        <row r="12">
          <cell r="A12">
            <v>5</v>
          </cell>
          <cell r="B12" t="str">
            <v>Kisegítő mezőgazdasági tevék.</v>
          </cell>
          <cell r="C12">
            <v>75</v>
          </cell>
          <cell r="D12">
            <v>0</v>
          </cell>
          <cell r="E12">
            <v>75</v>
          </cell>
        </row>
        <row r="13">
          <cell r="A13">
            <v>6</v>
          </cell>
          <cell r="B13" t="str">
            <v>Könyv- és zeneműkiadás</v>
          </cell>
          <cell r="C13">
            <v>560</v>
          </cell>
          <cell r="D13">
            <v>0</v>
          </cell>
          <cell r="E13">
            <v>560</v>
          </cell>
        </row>
        <row r="14">
          <cell r="A14">
            <v>7</v>
          </cell>
          <cell r="B14" t="str">
            <v>Lapkiadás</v>
          </cell>
          <cell r="C14">
            <v>2420</v>
          </cell>
          <cell r="D14">
            <v>0</v>
          </cell>
          <cell r="E14">
            <v>2420</v>
          </cell>
        </row>
        <row r="15">
          <cell r="A15">
            <v>9</v>
          </cell>
          <cell r="B15" t="str">
            <v>Üdültetés</v>
          </cell>
          <cell r="C15">
            <v>8832</v>
          </cell>
          <cell r="D15">
            <v>0</v>
          </cell>
          <cell r="E15">
            <v>8832</v>
          </cell>
        </row>
        <row r="16">
          <cell r="A16">
            <v>11</v>
          </cell>
          <cell r="B16" t="str">
            <v>Saját v.bérelt ingatlan hasznositás</v>
          </cell>
          <cell r="C16">
            <v>8750</v>
          </cell>
          <cell r="D16">
            <v>105000</v>
          </cell>
          <cell r="E16">
            <v>8750</v>
          </cell>
        </row>
        <row r="17">
          <cell r="A17">
            <v>12</v>
          </cell>
          <cell r="B17" t="str">
            <v>Önkormányzatok igazgatási tevékenysége</v>
          </cell>
          <cell r="C17">
            <v>82646</v>
          </cell>
          <cell r="D17">
            <v>20582</v>
          </cell>
          <cell r="E17">
            <v>103228</v>
          </cell>
        </row>
        <row r="18">
          <cell r="B18" t="str">
            <v>Folyószámlahitel igénybevétel</v>
          </cell>
          <cell r="C18">
            <v>100000</v>
          </cell>
          <cell r="D18">
            <v>0</v>
          </cell>
          <cell r="E18">
            <v>100000</v>
          </cell>
        </row>
        <row r="19">
          <cell r="B19" t="str">
            <v>Fejlesztési célhitel igénybevétel</v>
          </cell>
          <cell r="C19">
            <v>15000</v>
          </cell>
          <cell r="D19">
            <v>0</v>
          </cell>
          <cell r="E19">
            <v>15000</v>
          </cell>
        </row>
        <row r="20">
          <cell r="A20">
            <v>14</v>
          </cell>
          <cell r="B20" t="str">
            <v xml:space="preserve">Okmányiroda </v>
          </cell>
          <cell r="C20">
            <v>6000</v>
          </cell>
          <cell r="D20">
            <v>0</v>
          </cell>
          <cell r="E20">
            <v>6000</v>
          </cell>
        </row>
        <row r="21">
          <cell r="A21">
            <v>16</v>
          </cell>
          <cell r="B21" t="str">
            <v>Német Nemzetiségi Kisebbségi Önkormányzat</v>
          </cell>
          <cell r="C21">
            <v>5200</v>
          </cell>
          <cell r="D21">
            <v>1397</v>
          </cell>
          <cell r="E21">
            <v>6597</v>
          </cell>
        </row>
        <row r="22">
          <cell r="A22">
            <v>17</v>
          </cell>
          <cell r="B22" t="str">
            <v>Város és községgazdálkodási szolgáltatás</v>
          </cell>
          <cell r="C22">
            <v>500</v>
          </cell>
          <cell r="D22">
            <v>587</v>
          </cell>
          <cell r="E22">
            <v>500</v>
          </cell>
        </row>
        <row r="23">
          <cell r="A23">
            <v>18</v>
          </cell>
          <cell r="B23" t="str">
            <v>Köztemető fenntartás, üzemeltetés</v>
          </cell>
          <cell r="C23">
            <v>875</v>
          </cell>
          <cell r="D23">
            <v>2742</v>
          </cell>
          <cell r="E23">
            <v>3617</v>
          </cell>
        </row>
        <row r="24">
          <cell r="A24">
            <v>21</v>
          </cell>
          <cell r="B24" t="str">
            <v>Önkorm.-i feladatranem tervezhető elszámolás</v>
          </cell>
          <cell r="C24">
            <v>1120954</v>
          </cell>
          <cell r="D24">
            <v>8992</v>
          </cell>
          <cell r="E24">
            <v>1129946</v>
          </cell>
        </row>
        <row r="25">
          <cell r="B25" t="str">
            <v>Fejl.c.p.e.átvétel lakosságtól</v>
          </cell>
        </row>
        <row r="26">
          <cell r="A26">
            <v>22</v>
          </cell>
          <cell r="B26" t="str">
            <v>Állategészségügyi tevékenység</v>
          </cell>
          <cell r="C26">
            <v>616</v>
          </cell>
          <cell r="D26">
            <v>0</v>
          </cell>
          <cell r="E26">
            <v>616</v>
          </cell>
        </row>
        <row r="27">
          <cell r="A27">
            <v>25</v>
          </cell>
          <cell r="B27" t="str">
            <v>Szennyvízelvezetésés kezelés</v>
          </cell>
        </row>
        <row r="28">
          <cell r="A28">
            <v>26</v>
          </cell>
          <cell r="B28" t="str">
            <v>Települési hulladékokkezelési köztisztasági bev.</v>
          </cell>
          <cell r="C28">
            <v>4928</v>
          </cell>
          <cell r="D28">
            <v>0</v>
          </cell>
          <cell r="E28">
            <v>4928</v>
          </cell>
        </row>
        <row r="29">
          <cell r="A29">
            <v>27</v>
          </cell>
          <cell r="B29" t="str">
            <v>Közművelődési könyvtár</v>
          </cell>
          <cell r="C29">
            <v>1110</v>
          </cell>
          <cell r="D29">
            <v>0</v>
          </cell>
          <cell r="E29">
            <v>1110</v>
          </cell>
        </row>
        <row r="30">
          <cell r="A30">
            <v>28</v>
          </cell>
          <cell r="B30" t="str">
            <v>Mük.c.pénze.átv.kp.sz. Munk.n.Jöv.pótló</v>
          </cell>
          <cell r="C30">
            <v>0</v>
          </cell>
          <cell r="D30">
            <v>-1354</v>
          </cell>
          <cell r="E30">
            <v>-1354</v>
          </cell>
        </row>
        <row r="31">
          <cell r="B31" t="str">
            <v>Összesen</v>
          </cell>
          <cell r="C31">
            <v>1358466</v>
          </cell>
          <cell r="D31">
            <v>137946</v>
          </cell>
          <cell r="E31">
            <v>1496412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talomjegyzék_2018"/>
      <sheetName val="1.Bev_kiad_kiemelt ei"/>
      <sheetName val="2.Bevételek_részletes"/>
      <sheetName val="2.Kiadások_részletes "/>
      <sheetName val="3. Gesz költségvetés"/>
      <sheetName val="4. Köt+önk_Önkori"/>
      <sheetName val="5. Köt+önk_PH"/>
      <sheetName val="6. Köt+önk_Szakorvosi"/>
      <sheetName val="7.Ligeti cseperedő Ovi (2)"/>
      <sheetName val="8.Német nemzetiségi Ovi (2)"/>
      <sheetName val="9.Művészetek Háza"/>
      <sheetName val="10.GESZ"/>
      <sheetName val="11. Bölcsöde"/>
      <sheetName val="12. Támogatási bevételek (B (2)"/>
      <sheetName val="13. Költségvetési támogatások"/>
      <sheetName val="14. Intézményi normatíva"/>
      <sheetName val="15. Működési bev. (B3,B4)"/>
      <sheetName val="16. Átvett pénze.(B6,B7)"/>
      <sheetName val="17. finanszírozás be_ki (B8,K9)"/>
      <sheetName val="18. Dologi kiadások cofog(K3)"/>
      <sheetName val="19. Dologi kiad.igazg. (K3)"/>
      <sheetName val="20. Ellátottak p.jutattás (K4)"/>
      <sheetName val="21. Pe. átad. és tám. (K5)"/>
      <sheetName val="22. Tartalékok (K512)"/>
      <sheetName val="23. Beruházás (K6)"/>
      <sheetName val="24. Felújítás (K7)"/>
      <sheetName val="25. Több éves elköt."/>
      <sheetName val="26.sz.létszám"/>
      <sheetName val="27. ktgv.mérleg"/>
      <sheetName val="28.eir.felh.ütemterv"/>
      <sheetName val="29.sz.finansz.ütemterv"/>
      <sheetName val="30.sz.közvetett tám. (2)"/>
      <sheetName val="31.sz.adósságszolgálat"/>
      <sheetName val="32. gördülő"/>
      <sheetName val="33. EU projekt (2)"/>
    </sheetNames>
    <sheetDataSet>
      <sheetData sheetId="0">
        <row r="32">
          <cell r="B32" t="str">
            <v>Pilisvörösvár Város Önkormányzata több éves fejlesztési célú elkötelezettségei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1">
          <cell r="D11">
            <v>51000</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pageSetUpPr fitToPage="1"/>
  </sheetPr>
  <dimension ref="A1:K40"/>
  <sheetViews>
    <sheetView tabSelected="1" view="pageBreakPreview" zoomScale="75" zoomScaleNormal="75" workbookViewId="0">
      <selection activeCell="A2" sqref="A2:E2"/>
    </sheetView>
  </sheetViews>
  <sheetFormatPr defaultRowHeight="20.25" x14ac:dyDescent="0.3"/>
  <cols>
    <col min="1" max="1" width="37.42578125" style="607" customWidth="1"/>
    <col min="2" max="2" width="194.5703125" style="252" customWidth="1"/>
    <col min="3" max="16384" width="9.140625" style="252"/>
  </cols>
  <sheetData>
    <row r="1" spans="1:11" ht="30.75" x14ac:dyDescent="0.45">
      <c r="A1" s="2392" t="s">
        <v>1592</v>
      </c>
      <c r="B1" s="2393"/>
    </row>
    <row r="2" spans="1:11" ht="30" x14ac:dyDescent="0.4">
      <c r="A2" s="2392" t="s">
        <v>1508</v>
      </c>
      <c r="B2" s="2392"/>
      <c r="C2" s="307"/>
    </row>
    <row r="3" spans="1:11" ht="34.5" customHeight="1" x14ac:dyDescent="0.3">
      <c r="A3" s="2395" t="s">
        <v>525</v>
      </c>
      <c r="B3" s="2395"/>
      <c r="C3" s="307"/>
    </row>
    <row r="4" spans="1:11" x14ac:dyDescent="0.3">
      <c r="A4" s="2394"/>
      <c r="B4" s="2394"/>
      <c r="C4" s="307"/>
    </row>
    <row r="5" spans="1:11" x14ac:dyDescent="0.3">
      <c r="A5" s="2298"/>
      <c r="B5" s="2298"/>
      <c r="C5" s="307"/>
    </row>
    <row r="6" spans="1:11" ht="98.25" customHeight="1" x14ac:dyDescent="0.3">
      <c r="A6" s="2299" t="s">
        <v>526</v>
      </c>
      <c r="B6" s="2299" t="s">
        <v>527</v>
      </c>
      <c r="C6" s="307"/>
    </row>
    <row r="7" spans="1:11" s="284" customFormat="1" ht="48.75" customHeight="1" x14ac:dyDescent="0.4">
      <c r="A7" s="2300" t="s">
        <v>528</v>
      </c>
      <c r="B7" s="2301" t="s">
        <v>529</v>
      </c>
      <c r="E7" s="494"/>
      <c r="F7" s="494"/>
    </row>
    <row r="8" spans="1:11" s="285" customFormat="1" ht="48.75" customHeight="1" x14ac:dyDescent="0.4">
      <c r="A8" s="2300" t="s">
        <v>690</v>
      </c>
      <c r="B8" s="2301" t="s">
        <v>689</v>
      </c>
      <c r="E8" s="494"/>
      <c r="F8" s="252"/>
      <c r="G8" s="252"/>
      <c r="H8" s="252"/>
      <c r="I8" s="252"/>
      <c r="J8" s="252"/>
    </row>
    <row r="9" spans="1:11" s="285" customFormat="1" ht="48.75" customHeight="1" x14ac:dyDescent="0.4">
      <c r="A9" s="2300" t="s">
        <v>691</v>
      </c>
      <c r="B9" s="2301" t="s">
        <v>688</v>
      </c>
      <c r="D9" s="252"/>
      <c r="E9" s="494"/>
    </row>
    <row r="10" spans="1:11" s="285" customFormat="1" ht="63.75" customHeight="1" x14ac:dyDescent="0.4">
      <c r="A10" s="2300" t="s">
        <v>530</v>
      </c>
      <c r="B10" s="2301" t="s">
        <v>991</v>
      </c>
      <c r="C10" s="286"/>
      <c r="D10" s="286"/>
      <c r="E10" s="286"/>
      <c r="F10" s="286"/>
      <c r="G10" s="286"/>
    </row>
    <row r="11" spans="1:11" s="285" customFormat="1" ht="48.75" customHeight="1" x14ac:dyDescent="0.4">
      <c r="A11" s="2300" t="s">
        <v>531</v>
      </c>
      <c r="B11" s="2301" t="s">
        <v>443</v>
      </c>
      <c r="C11" s="287"/>
      <c r="D11" s="287"/>
      <c r="E11" s="287"/>
      <c r="F11" s="287"/>
      <c r="G11" s="287"/>
    </row>
    <row r="12" spans="1:11" s="285" customFormat="1" ht="48.75" customHeight="1" x14ac:dyDescent="0.4">
      <c r="A12" s="2300" t="s">
        <v>532</v>
      </c>
      <c r="B12" s="2301" t="s">
        <v>992</v>
      </c>
      <c r="C12" s="288"/>
      <c r="D12" s="288"/>
      <c r="E12" s="288"/>
      <c r="F12" s="288"/>
      <c r="G12" s="288"/>
      <c r="H12" s="288"/>
      <c r="I12" s="288"/>
      <c r="J12" s="288"/>
      <c r="K12" s="288"/>
    </row>
    <row r="13" spans="1:11" s="285" customFormat="1" ht="48.75" customHeight="1" x14ac:dyDescent="0.4">
      <c r="A13" s="2300" t="s">
        <v>533</v>
      </c>
      <c r="B13" s="2301" t="s">
        <v>447</v>
      </c>
      <c r="C13" s="289"/>
      <c r="D13" s="289"/>
      <c r="E13" s="289"/>
      <c r="F13" s="290"/>
      <c r="G13" s="290"/>
      <c r="H13" s="290"/>
    </row>
    <row r="14" spans="1:11" s="285" customFormat="1" ht="48.75" customHeight="1" x14ac:dyDescent="0.4">
      <c r="A14" s="2300" t="s">
        <v>534</v>
      </c>
      <c r="B14" s="2301" t="s">
        <v>448</v>
      </c>
      <c r="C14" s="287"/>
      <c r="D14" s="287"/>
      <c r="E14" s="287"/>
      <c r="F14" s="287"/>
      <c r="G14" s="287"/>
      <c r="H14" s="287"/>
      <c r="I14" s="287"/>
    </row>
    <row r="15" spans="1:11" s="285" customFormat="1" ht="48.75" customHeight="1" x14ac:dyDescent="0.4">
      <c r="A15" s="2300" t="s">
        <v>535</v>
      </c>
      <c r="B15" s="2301" t="s">
        <v>818</v>
      </c>
      <c r="C15" s="287"/>
      <c r="D15" s="287"/>
      <c r="E15" s="287"/>
      <c r="F15" s="287"/>
      <c r="G15" s="287"/>
      <c r="H15" s="287"/>
    </row>
    <row r="16" spans="1:11" s="285" customFormat="1" ht="48.75" customHeight="1" x14ac:dyDescent="0.4">
      <c r="A16" s="2300" t="s">
        <v>536</v>
      </c>
      <c r="B16" s="2301" t="s">
        <v>819</v>
      </c>
      <c r="C16" s="291"/>
    </row>
    <row r="17" spans="1:6" s="285" customFormat="1" ht="48.75" customHeight="1" x14ac:dyDescent="0.4">
      <c r="A17" s="2300" t="s">
        <v>537</v>
      </c>
      <c r="B17" s="2301" t="s">
        <v>993</v>
      </c>
      <c r="C17" s="292"/>
      <c r="D17" s="292"/>
      <c r="E17" s="292"/>
      <c r="F17" s="292"/>
    </row>
    <row r="18" spans="1:6" s="285" customFormat="1" ht="48.75" customHeight="1" x14ac:dyDescent="0.4">
      <c r="A18" s="2300" t="s">
        <v>538</v>
      </c>
      <c r="B18" s="2301" t="s">
        <v>793</v>
      </c>
      <c r="C18" s="292"/>
      <c r="D18" s="292"/>
      <c r="E18" s="292"/>
      <c r="F18" s="292"/>
    </row>
    <row r="19" spans="1:6" s="285" customFormat="1" ht="48.75" customHeight="1" x14ac:dyDescent="0.4">
      <c r="A19" s="2300" t="s">
        <v>539</v>
      </c>
      <c r="B19" s="2301" t="s">
        <v>676</v>
      </c>
    </row>
    <row r="20" spans="1:6" s="293" customFormat="1" ht="48.75" customHeight="1" x14ac:dyDescent="0.4">
      <c r="A20" s="2300" t="s">
        <v>540</v>
      </c>
      <c r="B20" s="2301" t="s">
        <v>994</v>
      </c>
    </row>
    <row r="21" spans="1:6" s="293" customFormat="1" ht="48.75" customHeight="1" x14ac:dyDescent="0.4">
      <c r="A21" s="2300" t="s">
        <v>541</v>
      </c>
      <c r="B21" s="2301" t="s">
        <v>794</v>
      </c>
    </row>
    <row r="22" spans="1:6" s="293" customFormat="1" ht="48.75" customHeight="1" x14ac:dyDescent="0.4">
      <c r="A22" s="2300" t="s">
        <v>542</v>
      </c>
      <c r="B22" s="2301" t="s">
        <v>545</v>
      </c>
    </row>
    <row r="23" spans="1:6" s="293" customFormat="1" ht="48.75" customHeight="1" x14ac:dyDescent="0.4">
      <c r="A23" s="2300" t="s">
        <v>543</v>
      </c>
      <c r="B23" s="2301" t="s">
        <v>995</v>
      </c>
    </row>
    <row r="24" spans="1:6" s="293" customFormat="1" ht="55.5" x14ac:dyDescent="0.4">
      <c r="A24" s="2300" t="s">
        <v>544</v>
      </c>
      <c r="B24" s="2301" t="s">
        <v>703</v>
      </c>
    </row>
    <row r="25" spans="1:6" s="293" customFormat="1" ht="55.5" x14ac:dyDescent="0.4">
      <c r="A25" s="2300" t="s">
        <v>546</v>
      </c>
      <c r="B25" s="2301" t="s">
        <v>795</v>
      </c>
    </row>
    <row r="26" spans="1:6" s="293" customFormat="1" ht="48.75" customHeight="1" x14ac:dyDescent="0.4">
      <c r="A26" s="2300" t="s">
        <v>547</v>
      </c>
      <c r="B26" s="2301" t="s">
        <v>796</v>
      </c>
    </row>
    <row r="27" spans="1:6" s="293" customFormat="1" ht="66.75" customHeight="1" x14ac:dyDescent="0.4">
      <c r="A27" s="2300" t="s">
        <v>548</v>
      </c>
      <c r="B27" s="2301" t="s">
        <v>814</v>
      </c>
    </row>
    <row r="28" spans="1:6" s="293" customFormat="1" ht="63.75" customHeight="1" x14ac:dyDescent="0.4">
      <c r="A28" s="2300" t="s">
        <v>549</v>
      </c>
      <c r="B28" s="2301" t="s">
        <v>815</v>
      </c>
    </row>
    <row r="29" spans="1:6" s="293" customFormat="1" ht="48.75" customHeight="1" x14ac:dyDescent="0.4">
      <c r="A29" s="2300" t="s">
        <v>550</v>
      </c>
      <c r="B29" s="2301" t="s">
        <v>797</v>
      </c>
    </row>
    <row r="30" spans="1:6" s="293" customFormat="1" ht="48.75" customHeight="1" x14ac:dyDescent="0.4">
      <c r="A30" s="2300" t="s">
        <v>551</v>
      </c>
      <c r="B30" s="2301" t="s">
        <v>553</v>
      </c>
    </row>
    <row r="31" spans="1:6" s="293" customFormat="1" ht="48.75" customHeight="1" x14ac:dyDescent="0.4">
      <c r="A31" s="2300" t="s">
        <v>552</v>
      </c>
      <c r="B31" s="1162" t="s">
        <v>1113</v>
      </c>
    </row>
    <row r="32" spans="1:6" s="293" customFormat="1" ht="48.75" customHeight="1" x14ac:dyDescent="0.4">
      <c r="A32" s="2300" t="s">
        <v>554</v>
      </c>
      <c r="B32" s="1162" t="s">
        <v>1114</v>
      </c>
    </row>
    <row r="33" spans="1:5" s="293" customFormat="1" ht="48.75" customHeight="1" x14ac:dyDescent="0.4">
      <c r="A33" s="2300" t="s">
        <v>555</v>
      </c>
      <c r="B33" s="1162" t="s">
        <v>1119</v>
      </c>
    </row>
    <row r="34" spans="1:5" s="293" customFormat="1" ht="48.75" customHeight="1" x14ac:dyDescent="0.4">
      <c r="A34" s="2300" t="s">
        <v>556</v>
      </c>
      <c r="B34" s="1162" t="s">
        <v>1120</v>
      </c>
    </row>
    <row r="35" spans="1:5" s="293" customFormat="1" ht="48.75" customHeight="1" x14ac:dyDescent="0.4">
      <c r="A35" s="2300" t="s">
        <v>557</v>
      </c>
      <c r="B35" s="1162" t="s">
        <v>1115</v>
      </c>
    </row>
    <row r="36" spans="1:5" s="293" customFormat="1" ht="48.75" customHeight="1" x14ac:dyDescent="0.4">
      <c r="A36" s="2300" t="s">
        <v>558</v>
      </c>
      <c r="B36" s="2301" t="s">
        <v>798</v>
      </c>
    </row>
    <row r="37" spans="1:5" s="293" customFormat="1" ht="48.75" customHeight="1" x14ac:dyDescent="0.4">
      <c r="A37" s="2300" t="s">
        <v>1590</v>
      </c>
      <c r="B37" s="2301" t="s">
        <v>1568</v>
      </c>
    </row>
    <row r="38" spans="1:5" s="293" customFormat="1" ht="48.75" customHeight="1" x14ac:dyDescent="0.4">
      <c r="A38" s="2300" t="s">
        <v>1117</v>
      </c>
      <c r="B38" s="1162" t="s">
        <v>1116</v>
      </c>
    </row>
    <row r="39" spans="1:5" s="293" customFormat="1" ht="48.75" customHeight="1" x14ac:dyDescent="0.4">
      <c r="A39" s="2300" t="s">
        <v>1118</v>
      </c>
      <c r="B39" s="1162" t="s">
        <v>1121</v>
      </c>
    </row>
    <row r="40" spans="1:5" ht="44.25" customHeight="1" x14ac:dyDescent="0.3">
      <c r="C40" s="253"/>
      <c r="D40" s="253"/>
      <c r="E40" s="253"/>
    </row>
  </sheetData>
  <mergeCells count="4">
    <mergeCell ref="A1:B1"/>
    <mergeCell ref="A4:B4"/>
    <mergeCell ref="A2:B2"/>
    <mergeCell ref="A3:B3"/>
  </mergeCells>
  <phoneticPr fontId="62" type="noConversion"/>
  <printOptions horizontalCentered="1"/>
  <pageMargins left="0.25" right="0.25" top="0.75" bottom="0.75" header="0.3" footer="0.3"/>
  <pageSetup paperSize="9" scale="37" orientation="portrait" verticalDpi="7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72"/>
  <sheetViews>
    <sheetView view="pageBreakPreview" zoomScale="80" zoomScaleSheetLayoutView="80" workbookViewId="0">
      <selection activeCell="A2" sqref="A2:O2"/>
    </sheetView>
  </sheetViews>
  <sheetFormatPr defaultRowHeight="15" customHeight="1" x14ac:dyDescent="0.2"/>
  <cols>
    <col min="1" max="1" width="14.140625" style="97" customWidth="1"/>
    <col min="2" max="2" width="75.140625" style="97" customWidth="1"/>
    <col min="3" max="3" width="18.7109375" style="97" customWidth="1"/>
    <col min="4" max="4" width="16.85546875" style="97" customWidth="1"/>
    <col min="5" max="5" width="16.7109375" style="97" customWidth="1"/>
    <col min="6" max="6" width="12.5703125" style="97" customWidth="1"/>
    <col min="7" max="7" width="18.85546875" style="97" customWidth="1"/>
    <col min="8" max="8" width="19.140625" style="97" customWidth="1"/>
    <col min="9" max="9" width="18" style="97" customWidth="1"/>
    <col min="10" max="10" width="14.85546875" style="97" customWidth="1"/>
    <col min="11" max="11" width="17.85546875" style="97" customWidth="1"/>
    <col min="12" max="12" width="19.5703125" style="97" customWidth="1"/>
    <col min="13" max="13" width="19.42578125" style="97" customWidth="1"/>
    <col min="14" max="14" width="14.42578125" style="97" customWidth="1"/>
    <col min="15" max="16384" width="9.140625" style="97"/>
  </cols>
  <sheetData>
    <row r="1" spans="1:14" s="855" customFormat="1" ht="26.25" x14ac:dyDescent="0.4">
      <c r="A1" s="2442" t="str">
        <f>'7.Ligeti cseperedő Ovi'!A1:K1</f>
        <v>Pilisvörösvár Város Önkormányzata Képviselő-testületének 7/2018. (IV. 27.) önkormányzati rendelete</v>
      </c>
      <c r="B1" s="2442"/>
      <c r="C1" s="2442"/>
      <c r="D1" s="2442"/>
      <c r="E1" s="2442"/>
      <c r="F1" s="2442"/>
      <c r="G1" s="2442"/>
      <c r="H1" s="2442"/>
      <c r="I1" s="2442"/>
      <c r="J1" s="2442"/>
      <c r="K1" s="2442"/>
      <c r="L1" s="2443"/>
      <c r="M1" s="2443"/>
      <c r="N1" s="2443"/>
    </row>
    <row r="2" spans="1:14" s="855" customFormat="1" ht="26.25" x14ac:dyDescent="0.4">
      <c r="A2" s="2442" t="str">
        <f>'7.Ligeti cseperedő Ovi'!A2:K2</f>
        <v>az Önkormányzat  2017. évi zárszámadásáról</v>
      </c>
      <c r="B2" s="2442"/>
      <c r="C2" s="2442"/>
      <c r="D2" s="2442"/>
      <c r="E2" s="2442"/>
      <c r="F2" s="2442"/>
      <c r="G2" s="2442"/>
      <c r="H2" s="2442"/>
      <c r="I2" s="2442"/>
      <c r="J2" s="2442"/>
      <c r="K2" s="2442"/>
      <c r="L2" s="2443"/>
      <c r="M2" s="2443"/>
      <c r="N2" s="2443"/>
    </row>
    <row r="3" spans="1:14" s="855" customFormat="1" ht="26.25" x14ac:dyDescent="0.4">
      <c r="A3" s="1493"/>
      <c r="B3" s="1493"/>
      <c r="C3" s="1493"/>
      <c r="D3" s="1493"/>
      <c r="E3" s="1493"/>
      <c r="F3" s="1493"/>
      <c r="G3" s="1493"/>
      <c r="H3" s="1493"/>
      <c r="I3" s="1493"/>
      <c r="J3" s="1493"/>
      <c r="K3" s="1493"/>
      <c r="L3" s="1493"/>
      <c r="M3" s="1493"/>
      <c r="N3" s="1493"/>
    </row>
    <row r="4" spans="1:14" s="855" customFormat="1" ht="26.25" x14ac:dyDescent="0.4">
      <c r="A4" s="2442" t="str">
        <f>Tartalomjegyzék_2017!B15</f>
        <v>Pilisvörösvári Német Nemzetiségi Óvoda költségvetése kötelező és önként vállalt feladat szerinti bontásban</v>
      </c>
      <c r="B4" s="2442"/>
      <c r="C4" s="2442"/>
      <c r="D4" s="2442"/>
      <c r="E4" s="2442"/>
      <c r="F4" s="2442"/>
      <c r="G4" s="2442"/>
      <c r="H4" s="2442"/>
      <c r="I4" s="2442"/>
      <c r="J4" s="2442"/>
      <c r="K4" s="2442"/>
      <c r="L4" s="2443"/>
      <c r="M4" s="2443"/>
      <c r="N4" s="2443"/>
    </row>
    <row r="5" spans="1:14" s="855" customFormat="1" ht="26.25" x14ac:dyDescent="0.4">
      <c r="A5" s="1493"/>
      <c r="B5" s="1493"/>
      <c r="C5" s="1493"/>
      <c r="D5" s="1493"/>
      <c r="E5" s="1493"/>
      <c r="F5" s="1493"/>
      <c r="G5" s="1493"/>
      <c r="H5" s="1493"/>
      <c r="I5" s="1493"/>
      <c r="J5" s="1493"/>
      <c r="K5" s="1493"/>
      <c r="L5" s="1497"/>
      <c r="M5" s="1497"/>
      <c r="N5" s="1497" t="s">
        <v>17</v>
      </c>
    </row>
    <row r="6" spans="1:14" s="855" customFormat="1" ht="27" thickBot="1" x14ac:dyDescent="0.45">
      <c r="A6" s="1493"/>
      <c r="B6" s="1493"/>
      <c r="C6" s="1493"/>
      <c r="D6" s="1493"/>
      <c r="E6" s="1493"/>
      <c r="F6" s="1493"/>
      <c r="G6" s="1493"/>
      <c r="H6" s="1493"/>
      <c r="I6" s="1493"/>
      <c r="J6" s="1493"/>
      <c r="K6" s="1493"/>
      <c r="L6" s="1497"/>
      <c r="M6" s="1497"/>
      <c r="N6" s="1497" t="s">
        <v>323</v>
      </c>
    </row>
    <row r="7" spans="1:14" s="855" customFormat="1" ht="21" x14ac:dyDescent="0.35">
      <c r="A7" s="2419" t="s">
        <v>364</v>
      </c>
      <c r="B7" s="2444" t="s">
        <v>799</v>
      </c>
      <c r="C7" s="2423" t="s">
        <v>152</v>
      </c>
      <c r="D7" s="2428"/>
      <c r="E7" s="2428"/>
      <c r="F7" s="2429"/>
      <c r="G7" s="2426" t="s">
        <v>1107</v>
      </c>
      <c r="H7" s="2428"/>
      <c r="I7" s="2428"/>
      <c r="J7" s="2430"/>
      <c r="K7" s="2423" t="s">
        <v>444</v>
      </c>
      <c r="L7" s="2428"/>
      <c r="M7" s="2428"/>
      <c r="N7" s="2429"/>
    </row>
    <row r="8" spans="1:14" s="855" customFormat="1" ht="101.25" x14ac:dyDescent="0.3">
      <c r="A8" s="2431"/>
      <c r="B8" s="2445" t="s">
        <v>799</v>
      </c>
      <c r="C8" s="1317" t="s">
        <v>1101</v>
      </c>
      <c r="D8" s="1318" t="s">
        <v>1102</v>
      </c>
      <c r="E8" s="1318" t="s">
        <v>1103</v>
      </c>
      <c r="F8" s="1319" t="s">
        <v>1084</v>
      </c>
      <c r="G8" s="1320" t="s">
        <v>1104</v>
      </c>
      <c r="H8" s="1318" t="s">
        <v>1105</v>
      </c>
      <c r="I8" s="1318" t="s">
        <v>1106</v>
      </c>
      <c r="J8" s="1321" t="s">
        <v>1084</v>
      </c>
      <c r="K8" s="2162" t="s">
        <v>1007</v>
      </c>
      <c r="L8" s="1318" t="s">
        <v>1069</v>
      </c>
      <c r="M8" s="1318" t="s">
        <v>1108</v>
      </c>
      <c r="N8" s="1319" t="s">
        <v>1084</v>
      </c>
    </row>
    <row r="9" spans="1:14" s="53" customFormat="1" ht="23.25" x14ac:dyDescent="0.35">
      <c r="A9" s="105" t="s">
        <v>374</v>
      </c>
      <c r="B9" s="1344" t="s">
        <v>373</v>
      </c>
      <c r="C9" s="1357"/>
      <c r="D9" s="1358"/>
      <c r="E9" s="1358"/>
      <c r="F9" s="1382"/>
      <c r="G9" s="1360"/>
      <c r="H9" s="1358"/>
      <c r="I9" s="1358"/>
      <c r="J9" s="1361"/>
      <c r="K9" s="1357">
        <f>C9+G9</f>
        <v>0</v>
      </c>
      <c r="L9" s="1358">
        <f t="shared" ref="L9:M9" si="0">D9+H9</f>
        <v>0</v>
      </c>
      <c r="M9" s="1358">
        <f t="shared" si="0"/>
        <v>0</v>
      </c>
      <c r="N9" s="1382"/>
    </row>
    <row r="10" spans="1:14" s="53" customFormat="1" ht="46.5" x14ac:dyDescent="0.35">
      <c r="A10" s="105" t="s">
        <v>376</v>
      </c>
      <c r="B10" s="1344" t="s">
        <v>375</v>
      </c>
      <c r="C10" s="1357"/>
      <c r="D10" s="1358">
        <f>'3. Gesz költségvetés'!J10</f>
        <v>70</v>
      </c>
      <c r="E10" s="1358">
        <f>'3. Gesz költségvetés'!K10</f>
        <v>70</v>
      </c>
      <c r="F10" s="1359">
        <f>E10/D10%</f>
        <v>100</v>
      </c>
      <c r="G10" s="1360"/>
      <c r="H10" s="1358"/>
      <c r="I10" s="1358"/>
      <c r="J10" s="1361"/>
      <c r="K10" s="1357">
        <f t="shared" ref="K10:K29" si="1">C10+G10</f>
        <v>0</v>
      </c>
      <c r="L10" s="1358">
        <f t="shared" ref="L10:L39" si="2">D10+H10</f>
        <v>70</v>
      </c>
      <c r="M10" s="1358">
        <f t="shared" ref="M10:M40" si="3">E10+I10</f>
        <v>70</v>
      </c>
      <c r="N10" s="1359">
        <f>M10/L10%</f>
        <v>100</v>
      </c>
    </row>
    <row r="11" spans="1:14" s="53" customFormat="1" ht="45" x14ac:dyDescent="0.3">
      <c r="A11" s="109" t="s">
        <v>378</v>
      </c>
      <c r="B11" s="1345" t="s">
        <v>377</v>
      </c>
      <c r="C11" s="1362">
        <f>SUM(C9:C10)</f>
        <v>0</v>
      </c>
      <c r="D11" s="1363">
        <f t="shared" ref="D11:E11" si="4">SUM(D9:D10)</f>
        <v>70</v>
      </c>
      <c r="E11" s="1363">
        <f t="shared" si="4"/>
        <v>70</v>
      </c>
      <c r="F11" s="1364">
        <f>E11/D11%</f>
        <v>100</v>
      </c>
      <c r="G11" s="1365"/>
      <c r="H11" s="1363"/>
      <c r="I11" s="1363"/>
      <c r="J11" s="1366"/>
      <c r="K11" s="1362">
        <f t="shared" si="1"/>
        <v>0</v>
      </c>
      <c r="L11" s="1363">
        <f t="shared" si="2"/>
        <v>70</v>
      </c>
      <c r="M11" s="1363">
        <f t="shared" si="3"/>
        <v>70</v>
      </c>
      <c r="N11" s="1364">
        <f>M11/L11%</f>
        <v>100</v>
      </c>
    </row>
    <row r="12" spans="1:14" s="53" customFormat="1" ht="45" x14ac:dyDescent="0.3">
      <c r="A12" s="109" t="s">
        <v>382</v>
      </c>
      <c r="B12" s="1345" t="s">
        <v>381</v>
      </c>
      <c r="C12" s="1362"/>
      <c r="D12" s="1363"/>
      <c r="E12" s="1363"/>
      <c r="F12" s="1439"/>
      <c r="G12" s="1365"/>
      <c r="H12" s="1363"/>
      <c r="I12" s="1363"/>
      <c r="J12" s="1366"/>
      <c r="K12" s="1362">
        <f t="shared" si="1"/>
        <v>0</v>
      </c>
      <c r="L12" s="1363">
        <f t="shared" si="2"/>
        <v>0</v>
      </c>
      <c r="M12" s="1363">
        <f t="shared" si="3"/>
        <v>0</v>
      </c>
      <c r="N12" s="1439"/>
    </row>
    <row r="13" spans="1:14" ht="46.5" x14ac:dyDescent="0.35">
      <c r="A13" s="747" t="s">
        <v>146</v>
      </c>
      <c r="B13" s="2077" t="s">
        <v>157</v>
      </c>
      <c r="C13" s="1362"/>
      <c r="D13" s="1363"/>
      <c r="E13" s="1363"/>
      <c r="F13" s="1439"/>
      <c r="G13" s="1365"/>
      <c r="H13" s="1363"/>
      <c r="I13" s="1363"/>
      <c r="J13" s="1366"/>
      <c r="K13" s="1357">
        <f t="shared" si="1"/>
        <v>0</v>
      </c>
      <c r="L13" s="1358">
        <f t="shared" si="2"/>
        <v>0</v>
      </c>
      <c r="M13" s="1358">
        <f t="shared" si="3"/>
        <v>0</v>
      </c>
      <c r="N13" s="1382"/>
    </row>
    <row r="14" spans="1:14" s="53" customFormat="1" ht="46.5" x14ac:dyDescent="0.35">
      <c r="A14" s="105" t="s">
        <v>103</v>
      </c>
      <c r="B14" s="1344" t="s">
        <v>156</v>
      </c>
      <c r="C14" s="1357"/>
      <c r="D14" s="1358"/>
      <c r="E14" s="1358"/>
      <c r="F14" s="1382"/>
      <c r="G14" s="1360"/>
      <c r="H14" s="1358"/>
      <c r="I14" s="1358"/>
      <c r="J14" s="1361"/>
      <c r="K14" s="1357">
        <f t="shared" si="1"/>
        <v>0</v>
      </c>
      <c r="L14" s="1358">
        <f t="shared" si="2"/>
        <v>0</v>
      </c>
      <c r="M14" s="1358">
        <f t="shared" si="3"/>
        <v>0</v>
      </c>
      <c r="N14" s="1382"/>
    </row>
    <row r="15" spans="1:14" s="53" customFormat="1" ht="23.25" x14ac:dyDescent="0.35">
      <c r="A15" s="105" t="s">
        <v>385</v>
      </c>
      <c r="B15" s="1344" t="s">
        <v>153</v>
      </c>
      <c r="C15" s="1357"/>
      <c r="D15" s="1358"/>
      <c r="E15" s="1358"/>
      <c r="F15" s="1382"/>
      <c r="G15" s="1360"/>
      <c r="H15" s="1358"/>
      <c r="I15" s="1358"/>
      <c r="J15" s="1361"/>
      <c r="K15" s="1357">
        <f t="shared" si="1"/>
        <v>0</v>
      </c>
      <c r="L15" s="1358">
        <f t="shared" si="2"/>
        <v>0</v>
      </c>
      <c r="M15" s="1358">
        <f t="shared" si="3"/>
        <v>0</v>
      </c>
      <c r="N15" s="1382"/>
    </row>
    <row r="16" spans="1:14" s="53" customFormat="1" ht="22.5" x14ac:dyDescent="0.3">
      <c r="A16" s="109" t="s">
        <v>387</v>
      </c>
      <c r="B16" s="1345" t="s">
        <v>386</v>
      </c>
      <c r="C16" s="1362"/>
      <c r="D16" s="1363"/>
      <c r="E16" s="1363"/>
      <c r="F16" s="1439"/>
      <c r="G16" s="1365"/>
      <c r="H16" s="1363"/>
      <c r="I16" s="1363"/>
      <c r="J16" s="1366"/>
      <c r="K16" s="1362">
        <f t="shared" si="1"/>
        <v>0</v>
      </c>
      <c r="L16" s="1363">
        <f t="shared" si="2"/>
        <v>0</v>
      </c>
      <c r="M16" s="1363">
        <f t="shared" si="3"/>
        <v>0</v>
      </c>
      <c r="N16" s="1439"/>
    </row>
    <row r="17" spans="1:14" s="53" customFormat="1" ht="23.25" x14ac:dyDescent="0.35">
      <c r="A17" s="105" t="s">
        <v>114</v>
      </c>
      <c r="B17" s="1347" t="s">
        <v>388</v>
      </c>
      <c r="C17" s="1357"/>
      <c r="D17" s="1358"/>
      <c r="E17" s="1358"/>
      <c r="F17" s="1382"/>
      <c r="G17" s="1360"/>
      <c r="H17" s="1358"/>
      <c r="I17" s="1358"/>
      <c r="J17" s="1361"/>
      <c r="K17" s="1357">
        <f t="shared" si="1"/>
        <v>0</v>
      </c>
      <c r="L17" s="1358">
        <f t="shared" si="2"/>
        <v>0</v>
      </c>
      <c r="M17" s="1358">
        <f t="shared" si="3"/>
        <v>0</v>
      </c>
      <c r="N17" s="1382"/>
    </row>
    <row r="18" spans="1:14" s="53" customFormat="1" ht="23.25" x14ac:dyDescent="0.35">
      <c r="A18" s="105" t="s">
        <v>113</v>
      </c>
      <c r="B18" s="1344" t="s">
        <v>116</v>
      </c>
      <c r="C18" s="1357"/>
      <c r="D18" s="1358"/>
      <c r="E18" s="1358"/>
      <c r="F18" s="1382"/>
      <c r="G18" s="1360">
        <v>300</v>
      </c>
      <c r="H18" s="1358">
        <f>'3. Gesz költségvetés'!J19</f>
        <v>360</v>
      </c>
      <c r="I18" s="1358">
        <f>'3. Gesz költségvetés'!K19</f>
        <v>360</v>
      </c>
      <c r="J18" s="1388">
        <f>I18/H18%</f>
        <v>100</v>
      </c>
      <c r="K18" s="1357">
        <f t="shared" si="1"/>
        <v>300</v>
      </c>
      <c r="L18" s="1358">
        <f t="shared" si="2"/>
        <v>360</v>
      </c>
      <c r="M18" s="1358">
        <f t="shared" si="3"/>
        <v>360</v>
      </c>
      <c r="N18" s="1359">
        <f>M18/L18%</f>
        <v>100</v>
      </c>
    </row>
    <row r="19" spans="1:14" s="53" customFormat="1" ht="46.5" x14ac:dyDescent="0.35">
      <c r="A19" s="105" t="s">
        <v>112</v>
      </c>
      <c r="B19" s="1344" t="s">
        <v>107</v>
      </c>
      <c r="C19" s="1357"/>
      <c r="D19" s="1358"/>
      <c r="E19" s="1358"/>
      <c r="F19" s="1382"/>
      <c r="G19" s="1360"/>
      <c r="H19" s="1358"/>
      <c r="I19" s="1358"/>
      <c r="J19" s="1361"/>
      <c r="K19" s="1357">
        <f t="shared" si="1"/>
        <v>0</v>
      </c>
      <c r="L19" s="1358">
        <f t="shared" si="2"/>
        <v>0</v>
      </c>
      <c r="M19" s="1358">
        <f t="shared" si="3"/>
        <v>0</v>
      </c>
      <c r="N19" s="1382"/>
    </row>
    <row r="20" spans="1:14" s="53" customFormat="1" ht="23.25" x14ac:dyDescent="0.35">
      <c r="A20" s="105" t="s">
        <v>395</v>
      </c>
      <c r="B20" s="1344" t="s">
        <v>394</v>
      </c>
      <c r="C20" s="1357"/>
      <c r="D20" s="1358"/>
      <c r="E20" s="1358"/>
      <c r="F20" s="1382"/>
      <c r="G20" s="1360"/>
      <c r="H20" s="1358"/>
      <c r="I20" s="1358"/>
      <c r="J20" s="1361"/>
      <c r="K20" s="1357">
        <f t="shared" si="1"/>
        <v>0</v>
      </c>
      <c r="L20" s="1358">
        <f t="shared" si="2"/>
        <v>0</v>
      </c>
      <c r="M20" s="1358">
        <f t="shared" si="3"/>
        <v>0</v>
      </c>
      <c r="N20" s="1382"/>
    </row>
    <row r="21" spans="1:14" s="53" customFormat="1" ht="23.25" x14ac:dyDescent="0.35">
      <c r="A21" s="105" t="s">
        <v>397</v>
      </c>
      <c r="B21" s="1344" t="s">
        <v>396</v>
      </c>
      <c r="C21" s="1357"/>
      <c r="D21" s="1358"/>
      <c r="E21" s="1358"/>
      <c r="F21" s="1382"/>
      <c r="G21" s="1360"/>
      <c r="H21" s="1358"/>
      <c r="I21" s="1358"/>
      <c r="J21" s="1361"/>
      <c r="K21" s="1357">
        <f t="shared" si="1"/>
        <v>0</v>
      </c>
      <c r="L21" s="1358">
        <f t="shared" si="2"/>
        <v>0</v>
      </c>
      <c r="M21" s="1358">
        <f t="shared" si="3"/>
        <v>0</v>
      </c>
      <c r="N21" s="1382"/>
    </row>
    <row r="22" spans="1:14" s="53" customFormat="1" ht="23.25" x14ac:dyDescent="0.35">
      <c r="A22" s="105" t="s">
        <v>401</v>
      </c>
      <c r="B22" s="1344" t="s">
        <v>400</v>
      </c>
      <c r="C22" s="1357"/>
      <c r="D22" s="1358"/>
      <c r="E22" s="1358"/>
      <c r="F22" s="1382"/>
      <c r="G22" s="1360"/>
      <c r="H22" s="1358"/>
      <c r="I22" s="1358"/>
      <c r="J22" s="1361"/>
      <c r="K22" s="1357">
        <f t="shared" si="1"/>
        <v>0</v>
      </c>
      <c r="L22" s="1358">
        <f t="shared" si="2"/>
        <v>0</v>
      </c>
      <c r="M22" s="1358">
        <f t="shared" si="3"/>
        <v>0</v>
      </c>
      <c r="N22" s="1382"/>
    </row>
    <row r="23" spans="1:14" s="53" customFormat="1" ht="23.25" x14ac:dyDescent="0.35">
      <c r="A23" s="105" t="s">
        <v>1112</v>
      </c>
      <c r="B23" s="1344" t="s">
        <v>980</v>
      </c>
      <c r="C23" s="1357"/>
      <c r="D23" s="1358">
        <f>'3. Gesz költségvetés'!J23</f>
        <v>21</v>
      </c>
      <c r="E23" s="1358">
        <f>'3. Gesz költségvetés'!K23</f>
        <v>21</v>
      </c>
      <c r="F23" s="1359">
        <f>E23/D23%</f>
        <v>100</v>
      </c>
      <c r="G23" s="1360"/>
      <c r="H23" s="1358"/>
      <c r="I23" s="1358"/>
      <c r="J23" s="1361"/>
      <c r="K23" s="1357">
        <f t="shared" ref="K23" si="5">C23+G23</f>
        <v>0</v>
      </c>
      <c r="L23" s="1358">
        <f t="shared" ref="L23" si="6">D23+H23</f>
        <v>21</v>
      </c>
      <c r="M23" s="1358">
        <f t="shared" ref="M23" si="7">E23+I23</f>
        <v>21</v>
      </c>
      <c r="N23" s="1382"/>
    </row>
    <row r="24" spans="1:14" s="53" customFormat="1" ht="22.5" x14ac:dyDescent="0.3">
      <c r="A24" s="109" t="s">
        <v>403</v>
      </c>
      <c r="B24" s="1348" t="s">
        <v>402</v>
      </c>
      <c r="C24" s="1362">
        <f>SUM(C17:C23)</f>
        <v>0</v>
      </c>
      <c r="D24" s="1363">
        <f t="shared" ref="D24:E24" si="8">SUM(D17:D23)</f>
        <v>21</v>
      </c>
      <c r="E24" s="1363">
        <f t="shared" si="8"/>
        <v>21</v>
      </c>
      <c r="F24" s="1364">
        <f>E24/D24%</f>
        <v>100</v>
      </c>
      <c r="G24" s="1365">
        <f>SUM(G17:G22)</f>
        <v>300</v>
      </c>
      <c r="H24" s="1363">
        <f t="shared" ref="H24:I24" si="9">SUM(H17:H22)</f>
        <v>360</v>
      </c>
      <c r="I24" s="1363">
        <f t="shared" si="9"/>
        <v>360</v>
      </c>
      <c r="J24" s="2078">
        <f>I24/H24%</f>
        <v>100</v>
      </c>
      <c r="K24" s="1362">
        <f t="shared" si="1"/>
        <v>300</v>
      </c>
      <c r="L24" s="1363">
        <f t="shared" si="2"/>
        <v>381</v>
      </c>
      <c r="M24" s="1363">
        <f t="shared" si="3"/>
        <v>381</v>
      </c>
      <c r="N24" s="1364">
        <f>M24/L24%</f>
        <v>100</v>
      </c>
    </row>
    <row r="25" spans="1:14" s="53" customFormat="1" ht="22.5" x14ac:dyDescent="0.3">
      <c r="A25" s="109" t="s">
        <v>409</v>
      </c>
      <c r="B25" s="1345" t="s">
        <v>408</v>
      </c>
      <c r="C25" s="1362"/>
      <c r="D25" s="1363"/>
      <c r="E25" s="1363"/>
      <c r="F25" s="1439"/>
      <c r="G25" s="1365"/>
      <c r="H25" s="1363"/>
      <c r="I25" s="1363"/>
      <c r="J25" s="1366"/>
      <c r="K25" s="1362">
        <f t="shared" si="1"/>
        <v>0</v>
      </c>
      <c r="L25" s="1363">
        <f t="shared" si="2"/>
        <v>0</v>
      </c>
      <c r="M25" s="1363">
        <f t="shared" si="3"/>
        <v>0</v>
      </c>
      <c r="N25" s="1439"/>
    </row>
    <row r="26" spans="1:14" s="53" customFormat="1" ht="22.5" x14ac:dyDescent="0.3">
      <c r="A26" s="109" t="s">
        <v>413</v>
      </c>
      <c r="B26" s="1345" t="s">
        <v>412</v>
      </c>
      <c r="C26" s="1362"/>
      <c r="D26" s="1363"/>
      <c r="E26" s="1363"/>
      <c r="F26" s="1439"/>
      <c r="G26" s="1365"/>
      <c r="H26" s="1363"/>
      <c r="I26" s="1363"/>
      <c r="J26" s="1366"/>
      <c r="K26" s="1362">
        <f t="shared" si="1"/>
        <v>0</v>
      </c>
      <c r="L26" s="1363">
        <f t="shared" si="2"/>
        <v>0</v>
      </c>
      <c r="M26" s="1363">
        <f t="shared" si="3"/>
        <v>0</v>
      </c>
      <c r="N26" s="1439"/>
    </row>
    <row r="27" spans="1:14" s="53" customFormat="1" ht="46.5" x14ac:dyDescent="0.35">
      <c r="A27" s="105" t="s">
        <v>415</v>
      </c>
      <c r="B27" s="1344" t="s">
        <v>414</v>
      </c>
      <c r="C27" s="1362"/>
      <c r="D27" s="1363"/>
      <c r="E27" s="1363"/>
      <c r="F27" s="1439"/>
      <c r="G27" s="1365"/>
      <c r="H27" s="1363"/>
      <c r="I27" s="1363"/>
      <c r="J27" s="1366"/>
      <c r="K27" s="1357">
        <f t="shared" si="1"/>
        <v>0</v>
      </c>
      <c r="L27" s="1358">
        <f t="shared" si="2"/>
        <v>0</v>
      </c>
      <c r="M27" s="1358">
        <f t="shared" si="3"/>
        <v>0</v>
      </c>
      <c r="N27" s="1382"/>
    </row>
    <row r="28" spans="1:14" s="53" customFormat="1" ht="23.25" x14ac:dyDescent="0.35">
      <c r="A28" s="105" t="s">
        <v>417</v>
      </c>
      <c r="B28" s="1347" t="s">
        <v>416</v>
      </c>
      <c r="C28" s="1362"/>
      <c r="D28" s="1363"/>
      <c r="E28" s="1363"/>
      <c r="F28" s="1439"/>
      <c r="G28" s="1365"/>
      <c r="H28" s="1363"/>
      <c r="I28" s="1363"/>
      <c r="J28" s="1366"/>
      <c r="K28" s="1357">
        <f t="shared" si="1"/>
        <v>0</v>
      </c>
      <c r="L28" s="1358">
        <f t="shared" si="2"/>
        <v>0</v>
      </c>
      <c r="M28" s="1358">
        <f t="shared" si="3"/>
        <v>0</v>
      </c>
      <c r="N28" s="1382"/>
    </row>
    <row r="29" spans="1:14" s="53" customFormat="1" ht="23.25" x14ac:dyDescent="0.35">
      <c r="A29" s="109" t="s">
        <v>419</v>
      </c>
      <c r="B29" s="1345" t="s">
        <v>418</v>
      </c>
      <c r="C29" s="1362"/>
      <c r="D29" s="1363"/>
      <c r="E29" s="1363"/>
      <c r="F29" s="1439"/>
      <c r="G29" s="1365"/>
      <c r="H29" s="1363"/>
      <c r="I29" s="1363"/>
      <c r="J29" s="1366"/>
      <c r="K29" s="1357">
        <f t="shared" si="1"/>
        <v>0</v>
      </c>
      <c r="L29" s="1358">
        <f t="shared" si="2"/>
        <v>0</v>
      </c>
      <c r="M29" s="1358">
        <f t="shared" si="3"/>
        <v>0</v>
      </c>
      <c r="N29" s="1382"/>
    </row>
    <row r="30" spans="1:14" s="53" customFormat="1" ht="22.5" x14ac:dyDescent="0.3">
      <c r="A30" s="111"/>
      <c r="B30" s="1349" t="s">
        <v>92</v>
      </c>
      <c r="C30" s="1367">
        <f>C11+C12+C16+C24+C26</f>
        <v>0</v>
      </c>
      <c r="D30" s="1368">
        <f t="shared" ref="D30:E30" si="10">D11+D12+D16+D24+D26</f>
        <v>91</v>
      </c>
      <c r="E30" s="1368">
        <f t="shared" si="10"/>
        <v>91</v>
      </c>
      <c r="F30" s="1369">
        <f>E30/D30%</f>
        <v>100</v>
      </c>
      <c r="G30" s="1370">
        <f>G11+G12+G16+G24+G26</f>
        <v>300</v>
      </c>
      <c r="H30" s="1368">
        <f t="shared" ref="H30:I30" si="11">H11+H12+H16+H24+H26</f>
        <v>360</v>
      </c>
      <c r="I30" s="1368">
        <f t="shared" si="11"/>
        <v>360</v>
      </c>
      <c r="J30" s="2079">
        <f>I30/H30%</f>
        <v>100</v>
      </c>
      <c r="K30" s="1367">
        <f>C30+G30</f>
        <v>300</v>
      </c>
      <c r="L30" s="1368">
        <f t="shared" si="2"/>
        <v>451</v>
      </c>
      <c r="M30" s="1368">
        <f>E30+I30</f>
        <v>451</v>
      </c>
      <c r="N30" s="1369">
        <f>M30/L30%</f>
        <v>100</v>
      </c>
    </row>
    <row r="31" spans="1:14" ht="22.5" x14ac:dyDescent="0.3">
      <c r="A31" s="111"/>
      <c r="B31" s="1349" t="s">
        <v>93</v>
      </c>
      <c r="C31" s="1367">
        <f>C25+C29</f>
        <v>0</v>
      </c>
      <c r="D31" s="1368">
        <f t="shared" ref="D31:E31" si="12">D25+D29</f>
        <v>0</v>
      </c>
      <c r="E31" s="1368">
        <f t="shared" si="12"/>
        <v>0</v>
      </c>
      <c r="F31" s="1440"/>
      <c r="G31" s="1370">
        <f>G25+G29</f>
        <v>0</v>
      </c>
      <c r="H31" s="1368">
        <f t="shared" ref="H31:I31" si="13">H25+H29</f>
        <v>0</v>
      </c>
      <c r="I31" s="1368">
        <f t="shared" si="13"/>
        <v>0</v>
      </c>
      <c r="J31" s="2079"/>
      <c r="K31" s="1367">
        <f t="shared" ref="K31:K41" si="14">C31+G31</f>
        <v>0</v>
      </c>
      <c r="L31" s="1368">
        <f t="shared" si="2"/>
        <v>0</v>
      </c>
      <c r="M31" s="1368">
        <f t="shared" si="3"/>
        <v>0</v>
      </c>
      <c r="N31" s="1369"/>
    </row>
    <row r="32" spans="1:14" ht="22.5" x14ac:dyDescent="0.3">
      <c r="A32" s="106" t="s">
        <v>421</v>
      </c>
      <c r="B32" s="1350" t="s">
        <v>420</v>
      </c>
      <c r="C32" s="1372">
        <f>SUM(C30:C31)</f>
        <v>0</v>
      </c>
      <c r="D32" s="1373">
        <f t="shared" ref="D32:E32" si="15">SUM(D30:D31)</f>
        <v>91</v>
      </c>
      <c r="E32" s="1373">
        <f t="shared" si="15"/>
        <v>91</v>
      </c>
      <c r="F32" s="1374">
        <f>E32/D32%</f>
        <v>100</v>
      </c>
      <c r="G32" s="1375">
        <f>SUM(G30:G31)</f>
        <v>300</v>
      </c>
      <c r="H32" s="1373">
        <f t="shared" ref="H32:I32" si="16">SUM(H30:H31)</f>
        <v>360</v>
      </c>
      <c r="I32" s="1373">
        <f t="shared" si="16"/>
        <v>360</v>
      </c>
      <c r="J32" s="2080">
        <f>I32/H32%</f>
        <v>100</v>
      </c>
      <c r="K32" s="1372">
        <f t="shared" si="14"/>
        <v>300</v>
      </c>
      <c r="L32" s="1373">
        <f t="shared" si="2"/>
        <v>451</v>
      </c>
      <c r="M32" s="1373">
        <f t="shared" si="3"/>
        <v>451</v>
      </c>
      <c r="N32" s="1374">
        <f>M32/L32%</f>
        <v>100</v>
      </c>
    </row>
    <row r="33" spans="1:14" ht="23.25" x14ac:dyDescent="0.35">
      <c r="A33" s="112"/>
      <c r="B33" s="1351" t="s">
        <v>422</v>
      </c>
      <c r="C33" s="1377">
        <f>C30-C61</f>
        <v>-196697</v>
      </c>
      <c r="D33" s="1378">
        <f t="shared" ref="D33:E33" si="17">D30-D61</f>
        <v>-200671</v>
      </c>
      <c r="E33" s="1378">
        <f t="shared" si="17"/>
        <v>-191312</v>
      </c>
      <c r="F33" s="1379"/>
      <c r="G33" s="1380">
        <f>G30-G61</f>
        <v>0</v>
      </c>
      <c r="H33" s="1378">
        <f t="shared" ref="H33:I33" si="18">H30-H61</f>
        <v>-21</v>
      </c>
      <c r="I33" s="1378">
        <f t="shared" si="18"/>
        <v>0</v>
      </c>
      <c r="J33" s="1381"/>
      <c r="K33" s="1377">
        <f t="shared" si="14"/>
        <v>-196697</v>
      </c>
      <c r="L33" s="1378">
        <f t="shared" si="2"/>
        <v>-200692</v>
      </c>
      <c r="M33" s="1378">
        <f t="shared" si="3"/>
        <v>-191312</v>
      </c>
      <c r="N33" s="1379"/>
    </row>
    <row r="34" spans="1:14" ht="23.25" x14ac:dyDescent="0.35">
      <c r="A34" s="112"/>
      <c r="B34" s="1351" t="s">
        <v>423</v>
      </c>
      <c r="C34" s="1377">
        <f>C31-C62</f>
        <v>-338</v>
      </c>
      <c r="D34" s="1378">
        <f t="shared" ref="D34:E34" si="19">D31-D62</f>
        <v>-338</v>
      </c>
      <c r="E34" s="1378">
        <f t="shared" si="19"/>
        <v>-306</v>
      </c>
      <c r="F34" s="1379"/>
      <c r="G34" s="1380">
        <f>G31-G62</f>
        <v>0</v>
      </c>
      <c r="H34" s="1378">
        <f t="shared" ref="H34:I34" si="20">H31-H62</f>
        <v>0</v>
      </c>
      <c r="I34" s="1378">
        <f t="shared" si="20"/>
        <v>0</v>
      </c>
      <c r="J34" s="1381"/>
      <c r="K34" s="1377">
        <f t="shared" si="14"/>
        <v>-338</v>
      </c>
      <c r="L34" s="1378">
        <f t="shared" si="2"/>
        <v>-338</v>
      </c>
      <c r="M34" s="1378">
        <f t="shared" si="3"/>
        <v>-306</v>
      </c>
      <c r="N34" s="1379"/>
    </row>
    <row r="35" spans="1:14" ht="23.25" x14ac:dyDescent="0.35">
      <c r="A35" s="107" t="s">
        <v>427</v>
      </c>
      <c r="B35" s="1347" t="s">
        <v>426</v>
      </c>
      <c r="C35" s="1357"/>
      <c r="D35" s="1358"/>
      <c r="E35" s="1358"/>
      <c r="F35" s="1382"/>
      <c r="G35" s="1360"/>
      <c r="H35" s="1358"/>
      <c r="I35" s="1358"/>
      <c r="J35" s="1361"/>
      <c r="K35" s="1357">
        <f t="shared" si="14"/>
        <v>0</v>
      </c>
      <c r="L35" s="1358">
        <f t="shared" si="2"/>
        <v>0</v>
      </c>
      <c r="M35" s="1358">
        <f t="shared" si="3"/>
        <v>0</v>
      </c>
      <c r="N35" s="1382"/>
    </row>
    <row r="36" spans="1:14" ht="46.5" x14ac:dyDescent="0.35">
      <c r="A36" s="107" t="s">
        <v>429</v>
      </c>
      <c r="B36" s="1344" t="s">
        <v>428</v>
      </c>
      <c r="C36" s="1357"/>
      <c r="D36" s="1358">
        <f>'3. Gesz költségvetés'!J30</f>
        <v>200</v>
      </c>
      <c r="E36" s="1358">
        <f>'3. Gesz költségvetés'!K30</f>
        <v>200</v>
      </c>
      <c r="F36" s="1359">
        <f>E36/D36%</f>
        <v>100</v>
      </c>
      <c r="G36" s="1360"/>
      <c r="H36" s="1358"/>
      <c r="I36" s="1358"/>
      <c r="J36" s="1361"/>
      <c r="K36" s="1357">
        <f t="shared" si="14"/>
        <v>0</v>
      </c>
      <c r="L36" s="1358">
        <f t="shared" si="2"/>
        <v>200</v>
      </c>
      <c r="M36" s="1358">
        <f t="shared" si="3"/>
        <v>200</v>
      </c>
      <c r="N36" s="1359">
        <f>M36/L36%</f>
        <v>100</v>
      </c>
    </row>
    <row r="37" spans="1:14" ht="46.5" x14ac:dyDescent="0.35">
      <c r="A37" s="107" t="s">
        <v>429</v>
      </c>
      <c r="B37" s="1344" t="s">
        <v>430</v>
      </c>
      <c r="C37" s="1357"/>
      <c r="D37" s="1358"/>
      <c r="E37" s="1358"/>
      <c r="F37" s="1382"/>
      <c r="G37" s="1360"/>
      <c r="H37" s="1358"/>
      <c r="I37" s="1358"/>
      <c r="J37" s="1361"/>
      <c r="K37" s="1357">
        <f t="shared" si="14"/>
        <v>0</v>
      </c>
      <c r="L37" s="1358">
        <f t="shared" si="2"/>
        <v>0</v>
      </c>
      <c r="M37" s="1358">
        <f t="shared" si="3"/>
        <v>0</v>
      </c>
      <c r="N37" s="1359"/>
    </row>
    <row r="38" spans="1:14" s="53" customFormat="1" ht="23.25" x14ac:dyDescent="0.35">
      <c r="A38" s="107" t="s">
        <v>432</v>
      </c>
      <c r="B38" s="1344" t="s">
        <v>431</v>
      </c>
      <c r="C38" s="1362">
        <f>SUM(C35:C37)</f>
        <v>0</v>
      </c>
      <c r="D38" s="1363">
        <f t="shared" ref="D38:E38" si="21">SUM(D35:D37)</f>
        <v>200</v>
      </c>
      <c r="E38" s="1363">
        <f t="shared" si="21"/>
        <v>200</v>
      </c>
      <c r="F38" s="1359">
        <f>E38/D38%</f>
        <v>100</v>
      </c>
      <c r="G38" s="1360"/>
      <c r="H38" s="1358"/>
      <c r="I38" s="1358"/>
      <c r="J38" s="1361"/>
      <c r="K38" s="1357">
        <f t="shared" si="14"/>
        <v>0</v>
      </c>
      <c r="L38" s="1358">
        <f t="shared" si="2"/>
        <v>200</v>
      </c>
      <c r="M38" s="1358">
        <f t="shared" si="3"/>
        <v>200</v>
      </c>
      <c r="N38" s="1359">
        <f>M38/L38%</f>
        <v>100</v>
      </c>
    </row>
    <row r="39" spans="1:14" ht="23.25" x14ac:dyDescent="0.35">
      <c r="A39" s="113" t="s">
        <v>434</v>
      </c>
      <c r="B39" s="1344" t="s">
        <v>433</v>
      </c>
      <c r="C39" s="1357">
        <v>197035</v>
      </c>
      <c r="D39" s="1358">
        <f>'3. Gesz költségvetés'!J33</f>
        <v>200830</v>
      </c>
      <c r="E39" s="1358">
        <f>'3. Gesz költségvetés'!K33</f>
        <v>191870</v>
      </c>
      <c r="F39" s="1359">
        <f>E39/D39%</f>
        <v>95.538515162077374</v>
      </c>
      <c r="G39" s="1360"/>
      <c r="H39" s="1358"/>
      <c r="I39" s="1358"/>
      <c r="J39" s="1361"/>
      <c r="K39" s="1357">
        <f t="shared" si="14"/>
        <v>197035</v>
      </c>
      <c r="L39" s="1358">
        <f t="shared" si="2"/>
        <v>200830</v>
      </c>
      <c r="M39" s="1358">
        <f t="shared" si="3"/>
        <v>191870</v>
      </c>
      <c r="N39" s="1359">
        <f>M39/L39%</f>
        <v>95.538515162077374</v>
      </c>
    </row>
    <row r="40" spans="1:14" ht="22.5" x14ac:dyDescent="0.3">
      <c r="A40" s="116" t="s">
        <v>442</v>
      </c>
      <c r="B40" s="1352" t="s">
        <v>441</v>
      </c>
      <c r="C40" s="1372">
        <f>SUM(C35:C39)</f>
        <v>197035</v>
      </c>
      <c r="D40" s="1373">
        <f>SUM(D38:D39)</f>
        <v>201030</v>
      </c>
      <c r="E40" s="1373">
        <f>SUM(E38:E39)</f>
        <v>192070</v>
      </c>
      <c r="F40" s="1374">
        <f>E40/D40%</f>
        <v>95.542953787991848</v>
      </c>
      <c r="G40" s="1375">
        <f>SUM(G35:G39)</f>
        <v>0</v>
      </c>
      <c r="H40" s="1373">
        <f t="shared" ref="H40:I40" si="22">SUM(H35:H39)</f>
        <v>0</v>
      </c>
      <c r="I40" s="1373">
        <f t="shared" si="22"/>
        <v>0</v>
      </c>
      <c r="J40" s="1376"/>
      <c r="K40" s="1372">
        <f>C40+G40</f>
        <v>197035</v>
      </c>
      <c r="L40" s="1373">
        <f>D40+H40</f>
        <v>201030</v>
      </c>
      <c r="M40" s="1373">
        <f t="shared" si="3"/>
        <v>192070</v>
      </c>
      <c r="N40" s="1374">
        <f>M40/L40%</f>
        <v>95.542953787991848</v>
      </c>
    </row>
    <row r="41" spans="1:14" ht="23.25" thickBot="1" x14ac:dyDescent="0.35">
      <c r="A41" s="118"/>
      <c r="B41" s="1353" t="s">
        <v>356</v>
      </c>
      <c r="C41" s="1383">
        <f>C32+C39</f>
        <v>197035</v>
      </c>
      <c r="D41" s="1384">
        <f>D32+D40</f>
        <v>201121</v>
      </c>
      <c r="E41" s="1384">
        <f>E32+E40</f>
        <v>192161</v>
      </c>
      <c r="F41" s="1385">
        <f>E41/D41%</f>
        <v>95.54497044067999</v>
      </c>
      <c r="G41" s="1386">
        <f>G32+G39</f>
        <v>300</v>
      </c>
      <c r="H41" s="1384">
        <f t="shared" ref="H41:I41" si="23">H32+H39</f>
        <v>360</v>
      </c>
      <c r="I41" s="1384">
        <f t="shared" si="23"/>
        <v>360</v>
      </c>
      <c r="J41" s="2081">
        <f>I41/H41%</f>
        <v>100</v>
      </c>
      <c r="K41" s="1383">
        <f t="shared" si="14"/>
        <v>197335</v>
      </c>
      <c r="L41" s="1384">
        <f>D41+H41</f>
        <v>201481</v>
      </c>
      <c r="M41" s="1384">
        <f>E41+I41</f>
        <v>192521</v>
      </c>
      <c r="N41" s="1385">
        <f>M41/L41%</f>
        <v>95.552930549282564</v>
      </c>
    </row>
    <row r="42" spans="1:14" ht="17.25" thickBot="1" x14ac:dyDescent="0.3">
      <c r="A42" s="1143"/>
      <c r="B42" s="1143"/>
      <c r="C42" s="1143"/>
      <c r="D42" s="1143"/>
      <c r="E42" s="1143"/>
      <c r="F42" s="1143"/>
      <c r="G42" s="1143"/>
      <c r="H42" s="1143"/>
      <c r="I42" s="1143"/>
      <c r="J42" s="1143"/>
      <c r="K42" s="1143"/>
      <c r="L42" s="957"/>
      <c r="M42" s="957"/>
      <c r="N42" s="957"/>
    </row>
    <row r="43" spans="1:14" s="855" customFormat="1" ht="21" x14ac:dyDescent="0.35">
      <c r="A43" s="2419" t="s">
        <v>364</v>
      </c>
      <c r="B43" s="2444" t="s">
        <v>804</v>
      </c>
      <c r="C43" s="2423" t="s">
        <v>152</v>
      </c>
      <c r="D43" s="2428"/>
      <c r="E43" s="2428"/>
      <c r="F43" s="2429"/>
      <c r="G43" s="2426" t="s">
        <v>1107</v>
      </c>
      <c r="H43" s="2428"/>
      <c r="I43" s="2428"/>
      <c r="J43" s="2430"/>
      <c r="K43" s="2423" t="s">
        <v>444</v>
      </c>
      <c r="L43" s="2428"/>
      <c r="M43" s="2428"/>
      <c r="N43" s="2429"/>
    </row>
    <row r="44" spans="1:14" s="855" customFormat="1" ht="101.25" x14ac:dyDescent="0.3">
      <c r="A44" s="2431"/>
      <c r="B44" s="2445" t="s">
        <v>799</v>
      </c>
      <c r="C44" s="1317" t="s">
        <v>1101</v>
      </c>
      <c r="D44" s="1318" t="s">
        <v>1102</v>
      </c>
      <c r="E44" s="1318" t="s">
        <v>1103</v>
      </c>
      <c r="F44" s="1319" t="s">
        <v>1084</v>
      </c>
      <c r="G44" s="1320" t="s">
        <v>1104</v>
      </c>
      <c r="H44" s="1318" t="s">
        <v>1105</v>
      </c>
      <c r="I44" s="1318" t="s">
        <v>1106</v>
      </c>
      <c r="J44" s="1321" t="s">
        <v>1084</v>
      </c>
      <c r="K44" s="2162" t="s">
        <v>1007</v>
      </c>
      <c r="L44" s="1318" t="s">
        <v>1069</v>
      </c>
      <c r="M44" s="1318" t="s">
        <v>1108</v>
      </c>
      <c r="N44" s="1319" t="s">
        <v>1084</v>
      </c>
    </row>
    <row r="45" spans="1:14" ht="23.25" x14ac:dyDescent="0.35">
      <c r="A45" s="102" t="s">
        <v>288</v>
      </c>
      <c r="B45" s="1354" t="s">
        <v>289</v>
      </c>
      <c r="C45" s="1357">
        <v>141536</v>
      </c>
      <c r="D45" s="1358">
        <f>'3. Gesz költségvetés'!J39</f>
        <v>141420</v>
      </c>
      <c r="E45" s="1358">
        <f>'3. Gesz költségvetés'!K39</f>
        <v>136934</v>
      </c>
      <c r="F45" s="1359">
        <f>E45/D45%</f>
        <v>96.827888558902558</v>
      </c>
      <c r="G45" s="1360"/>
      <c r="H45" s="1358"/>
      <c r="I45" s="1358"/>
      <c r="J45" s="1361"/>
      <c r="K45" s="1357">
        <f>C45+G45</f>
        <v>141536</v>
      </c>
      <c r="L45" s="1358">
        <f t="shared" ref="L45:M48" si="24">D45+H45</f>
        <v>141420</v>
      </c>
      <c r="M45" s="1358">
        <f t="shared" si="24"/>
        <v>136934</v>
      </c>
      <c r="N45" s="1359">
        <f>M45/L45%</f>
        <v>96.827888558902558</v>
      </c>
    </row>
    <row r="46" spans="1:14" ht="46.5" x14ac:dyDescent="0.35">
      <c r="A46" s="102" t="s">
        <v>290</v>
      </c>
      <c r="B46" s="1344" t="s">
        <v>291</v>
      </c>
      <c r="C46" s="1357">
        <v>34137</v>
      </c>
      <c r="D46" s="1358">
        <f>'3. Gesz költségvetés'!J40</f>
        <v>33993</v>
      </c>
      <c r="E46" s="1358">
        <f>'3. Gesz költségvetés'!K40</f>
        <v>31879</v>
      </c>
      <c r="F46" s="1359">
        <f>E46/D46%</f>
        <v>93.781072573765186</v>
      </c>
      <c r="G46" s="1360"/>
      <c r="H46" s="1358"/>
      <c r="I46" s="1358"/>
      <c r="J46" s="1361"/>
      <c r="K46" s="1357">
        <f>C46+G46</f>
        <v>34137</v>
      </c>
      <c r="L46" s="1358">
        <f t="shared" si="24"/>
        <v>33993</v>
      </c>
      <c r="M46" s="1358">
        <f t="shared" si="24"/>
        <v>31879</v>
      </c>
      <c r="N46" s="1359">
        <f>M46/L46%</f>
        <v>93.781072573765186</v>
      </c>
    </row>
    <row r="47" spans="1:14" ht="23.25" x14ac:dyDescent="0.35">
      <c r="A47" s="102" t="s">
        <v>292</v>
      </c>
      <c r="B47" s="1344" t="s">
        <v>293</v>
      </c>
      <c r="C47" s="1357">
        <v>21024</v>
      </c>
      <c r="D47" s="1358">
        <f>'3. Gesz költségvetés'!J41-H47</f>
        <v>25261</v>
      </c>
      <c r="E47" s="1358">
        <f>'3. Gesz költségvetés'!K41-I47</f>
        <v>22502</v>
      </c>
      <c r="F47" s="1359">
        <f t="shared" ref="F47:F49" si="25">E47/D47%</f>
        <v>89.078025414670833</v>
      </c>
      <c r="G47" s="1360">
        <v>300</v>
      </c>
      <c r="H47" s="1390">
        <v>381</v>
      </c>
      <c r="I47" s="1390">
        <v>360</v>
      </c>
      <c r="J47" s="1388">
        <f>I47/H47%</f>
        <v>94.488188976377955</v>
      </c>
      <c r="K47" s="1357">
        <f>C47+G47</f>
        <v>21324</v>
      </c>
      <c r="L47" s="1358">
        <f t="shared" si="24"/>
        <v>25642</v>
      </c>
      <c r="M47" s="1358">
        <f t="shared" si="24"/>
        <v>22862</v>
      </c>
      <c r="N47" s="1359">
        <f t="shared" ref="N47" si="26">M47/L47%</f>
        <v>89.158411980344738</v>
      </c>
    </row>
    <row r="48" spans="1:14" ht="23.25" x14ac:dyDescent="0.35">
      <c r="A48" s="102" t="s">
        <v>294</v>
      </c>
      <c r="B48" s="1347" t="s">
        <v>39</v>
      </c>
      <c r="C48" s="1357"/>
      <c r="D48" s="1358"/>
      <c r="E48" s="1358"/>
      <c r="F48" s="1359"/>
      <c r="G48" s="1360"/>
      <c r="H48" s="1358"/>
      <c r="I48" s="1358"/>
      <c r="J48" s="1361"/>
      <c r="K48" s="1357">
        <f t="shared" ref="K48:K60" si="27">C48+G48</f>
        <v>0</v>
      </c>
      <c r="L48" s="1358">
        <f t="shared" si="24"/>
        <v>0</v>
      </c>
      <c r="M48" s="1358">
        <f t="shared" si="24"/>
        <v>0</v>
      </c>
      <c r="N48" s="1359"/>
    </row>
    <row r="49" spans="1:14" ht="23.25" x14ac:dyDescent="0.35">
      <c r="A49" s="102" t="s">
        <v>120</v>
      </c>
      <c r="B49" s="1347" t="s">
        <v>121</v>
      </c>
      <c r="C49" s="1357"/>
      <c r="D49" s="1358">
        <f>'3. Gesz költségvetés'!J46</f>
        <v>88</v>
      </c>
      <c r="E49" s="1358">
        <f>'3. Gesz költségvetés'!K46</f>
        <v>88</v>
      </c>
      <c r="F49" s="1359">
        <f t="shared" si="25"/>
        <v>100</v>
      </c>
      <c r="G49" s="1360"/>
      <c r="H49" s="1358"/>
      <c r="I49" s="1358"/>
      <c r="J49" s="1361"/>
      <c r="K49" s="1357"/>
      <c r="L49" s="1358"/>
      <c r="M49" s="1358"/>
      <c r="N49" s="1359"/>
    </row>
    <row r="50" spans="1:14" ht="46.5" x14ac:dyDescent="0.35">
      <c r="A50" s="102" t="s">
        <v>295</v>
      </c>
      <c r="B50" s="1404" t="s">
        <v>296</v>
      </c>
      <c r="C50" s="1357"/>
      <c r="D50" s="1358"/>
      <c r="E50" s="1358"/>
      <c r="F50" s="1382"/>
      <c r="G50" s="1360"/>
      <c r="H50" s="1358"/>
      <c r="I50" s="1358"/>
      <c r="J50" s="1361"/>
      <c r="K50" s="1357">
        <f t="shared" si="27"/>
        <v>0</v>
      </c>
      <c r="L50" s="1358">
        <f t="shared" ref="L50:L60" si="28">D50+H50</f>
        <v>0</v>
      </c>
      <c r="M50" s="1358">
        <f t="shared" ref="M50:M60" si="29">E50+I50</f>
        <v>0</v>
      </c>
      <c r="N50" s="1382"/>
    </row>
    <row r="51" spans="1:14" ht="46.5" x14ac:dyDescent="0.35">
      <c r="A51" s="102" t="s">
        <v>298</v>
      </c>
      <c r="B51" s="1404" t="s">
        <v>297</v>
      </c>
      <c r="C51" s="1357"/>
      <c r="D51" s="1358"/>
      <c r="E51" s="1358"/>
      <c r="F51" s="1382"/>
      <c r="G51" s="1360"/>
      <c r="H51" s="1358"/>
      <c r="I51" s="1358"/>
      <c r="J51" s="1361"/>
      <c r="K51" s="1357">
        <f t="shared" si="27"/>
        <v>0</v>
      </c>
      <c r="L51" s="1358">
        <f t="shared" si="28"/>
        <v>0</v>
      </c>
      <c r="M51" s="1358">
        <f t="shared" si="29"/>
        <v>0</v>
      </c>
      <c r="N51" s="1382"/>
    </row>
    <row r="52" spans="1:14" ht="23.25" x14ac:dyDescent="0.35">
      <c r="A52" s="102" t="s">
        <v>785</v>
      </c>
      <c r="B52" s="1405" t="s">
        <v>299</v>
      </c>
      <c r="C52" s="1357"/>
      <c r="D52" s="1358"/>
      <c r="E52" s="1358"/>
      <c r="F52" s="1382"/>
      <c r="G52" s="1360"/>
      <c r="H52" s="1358"/>
      <c r="I52" s="1358"/>
      <c r="J52" s="1361"/>
      <c r="K52" s="1357">
        <f t="shared" si="27"/>
        <v>0</v>
      </c>
      <c r="L52" s="1358">
        <f t="shared" si="28"/>
        <v>0</v>
      </c>
      <c r="M52" s="1358">
        <f t="shared" si="29"/>
        <v>0</v>
      </c>
      <c r="N52" s="1382"/>
    </row>
    <row r="53" spans="1:14" ht="23.25" x14ac:dyDescent="0.35">
      <c r="A53" s="102" t="s">
        <v>785</v>
      </c>
      <c r="B53" s="1405" t="s">
        <v>155</v>
      </c>
      <c r="C53" s="1357"/>
      <c r="D53" s="1358"/>
      <c r="E53" s="1358"/>
      <c r="F53" s="1382"/>
      <c r="G53" s="1360"/>
      <c r="H53" s="1358"/>
      <c r="I53" s="1358"/>
      <c r="J53" s="1361"/>
      <c r="K53" s="1357">
        <f t="shared" si="27"/>
        <v>0</v>
      </c>
      <c r="L53" s="1358">
        <f t="shared" si="28"/>
        <v>0</v>
      </c>
      <c r="M53" s="1358">
        <f t="shared" si="29"/>
        <v>0</v>
      </c>
      <c r="N53" s="1382"/>
    </row>
    <row r="54" spans="1:14" ht="23.25" x14ac:dyDescent="0.35">
      <c r="A54" s="102" t="s">
        <v>785</v>
      </c>
      <c r="B54" s="1405" t="s">
        <v>300</v>
      </c>
      <c r="C54" s="1357"/>
      <c r="D54" s="1358"/>
      <c r="E54" s="1358"/>
      <c r="F54" s="1382"/>
      <c r="G54" s="1360"/>
      <c r="H54" s="1358"/>
      <c r="I54" s="1358"/>
      <c r="J54" s="1361"/>
      <c r="K54" s="1357">
        <f t="shared" si="27"/>
        <v>0</v>
      </c>
      <c r="L54" s="1358">
        <f t="shared" si="28"/>
        <v>0</v>
      </c>
      <c r="M54" s="1358">
        <f t="shared" si="29"/>
        <v>0</v>
      </c>
      <c r="N54" s="1382"/>
    </row>
    <row r="55" spans="1:14" s="53" customFormat="1" ht="22.5" x14ac:dyDescent="0.3">
      <c r="A55" s="1260" t="s">
        <v>301</v>
      </c>
      <c r="B55" s="1348" t="s">
        <v>302</v>
      </c>
      <c r="C55" s="1362">
        <f>SUM(C49:C54)</f>
        <v>0</v>
      </c>
      <c r="D55" s="1363">
        <f t="shared" ref="D55:E55" si="30">SUM(D49:D54)</f>
        <v>88</v>
      </c>
      <c r="E55" s="1363">
        <f t="shared" si="30"/>
        <v>88</v>
      </c>
      <c r="F55" s="1364">
        <f t="shared" ref="F55:F56" si="31">E55/D55%</f>
        <v>100</v>
      </c>
      <c r="G55" s="1365"/>
      <c r="H55" s="1363"/>
      <c r="I55" s="1363"/>
      <c r="J55" s="1366"/>
      <c r="K55" s="1362">
        <f t="shared" si="27"/>
        <v>0</v>
      </c>
      <c r="L55" s="1363">
        <f t="shared" si="28"/>
        <v>88</v>
      </c>
      <c r="M55" s="1363">
        <f t="shared" si="29"/>
        <v>88</v>
      </c>
      <c r="N55" s="1364">
        <f>M55/L55%</f>
        <v>100</v>
      </c>
    </row>
    <row r="56" spans="1:14" ht="23.25" x14ac:dyDescent="0.35">
      <c r="A56" s="102" t="s">
        <v>303</v>
      </c>
      <c r="B56" s="1406" t="s">
        <v>446</v>
      </c>
      <c r="C56" s="1357">
        <v>338</v>
      </c>
      <c r="D56" s="1358">
        <f>'3. Gesz költségvetés'!J48</f>
        <v>338</v>
      </c>
      <c r="E56" s="1358">
        <f>'3. Gesz költségvetés'!K48</f>
        <v>306</v>
      </c>
      <c r="F56" s="1359">
        <f t="shared" si="31"/>
        <v>90.532544378698233</v>
      </c>
      <c r="G56" s="1360"/>
      <c r="H56" s="1358"/>
      <c r="I56" s="1358"/>
      <c r="J56" s="1361"/>
      <c r="K56" s="1357">
        <f t="shared" si="27"/>
        <v>338</v>
      </c>
      <c r="L56" s="1358">
        <f t="shared" si="28"/>
        <v>338</v>
      </c>
      <c r="M56" s="1358">
        <f t="shared" si="29"/>
        <v>306</v>
      </c>
      <c r="N56" s="1359">
        <f>M56/L56%</f>
        <v>90.532544378698233</v>
      </c>
    </row>
    <row r="57" spans="1:14" ht="23.25" x14ac:dyDescent="0.35">
      <c r="A57" s="102" t="s">
        <v>304</v>
      </c>
      <c r="B57" s="1347" t="s">
        <v>305</v>
      </c>
      <c r="C57" s="1357"/>
      <c r="D57" s="1358"/>
      <c r="E57" s="1358"/>
      <c r="F57" s="1382"/>
      <c r="G57" s="1360"/>
      <c r="H57" s="1358"/>
      <c r="I57" s="1358"/>
      <c r="J57" s="1361"/>
      <c r="K57" s="1357">
        <f t="shared" si="27"/>
        <v>0</v>
      </c>
      <c r="L57" s="1358">
        <f t="shared" si="28"/>
        <v>0</v>
      </c>
      <c r="M57" s="1358">
        <f t="shared" si="29"/>
        <v>0</v>
      </c>
      <c r="N57" s="1382"/>
    </row>
    <row r="58" spans="1:14" ht="46.5" x14ac:dyDescent="0.35">
      <c r="A58" s="102" t="s">
        <v>251</v>
      </c>
      <c r="B58" s="1347" t="s">
        <v>154</v>
      </c>
      <c r="C58" s="1357"/>
      <c r="D58" s="1358"/>
      <c r="E58" s="1358"/>
      <c r="F58" s="1382"/>
      <c r="G58" s="1360"/>
      <c r="H58" s="1358"/>
      <c r="I58" s="1358"/>
      <c r="J58" s="1361"/>
      <c r="K58" s="1357">
        <f t="shared" si="27"/>
        <v>0</v>
      </c>
      <c r="L58" s="1358">
        <f t="shared" si="28"/>
        <v>0</v>
      </c>
      <c r="M58" s="1358">
        <f t="shared" si="29"/>
        <v>0</v>
      </c>
      <c r="N58" s="1382"/>
    </row>
    <row r="59" spans="1:14" ht="46.5" x14ac:dyDescent="0.35">
      <c r="A59" s="102" t="s">
        <v>306</v>
      </c>
      <c r="B59" s="1347" t="s">
        <v>307</v>
      </c>
      <c r="C59" s="1357"/>
      <c r="D59" s="1358"/>
      <c r="E59" s="1358"/>
      <c r="F59" s="1382"/>
      <c r="G59" s="1360"/>
      <c r="H59" s="1358"/>
      <c r="I59" s="1358"/>
      <c r="J59" s="1361"/>
      <c r="K59" s="1357">
        <f t="shared" si="27"/>
        <v>0</v>
      </c>
      <c r="L59" s="1358">
        <f t="shared" si="28"/>
        <v>0</v>
      </c>
      <c r="M59" s="1358">
        <f t="shared" si="29"/>
        <v>0</v>
      </c>
      <c r="N59" s="1382"/>
    </row>
    <row r="60" spans="1:14" ht="23.25" x14ac:dyDescent="0.35">
      <c r="A60" s="102" t="s">
        <v>308</v>
      </c>
      <c r="B60" s="1347" t="s">
        <v>309</v>
      </c>
      <c r="C60" s="1357"/>
      <c r="D60" s="1358"/>
      <c r="E60" s="1358"/>
      <c r="F60" s="1382"/>
      <c r="G60" s="1360"/>
      <c r="H60" s="1358"/>
      <c r="I60" s="1358"/>
      <c r="J60" s="1361"/>
      <c r="K60" s="1357">
        <f t="shared" si="27"/>
        <v>0</v>
      </c>
      <c r="L60" s="1358">
        <f t="shared" si="28"/>
        <v>0</v>
      </c>
      <c r="M60" s="1358">
        <f t="shared" si="29"/>
        <v>0</v>
      </c>
      <c r="N60" s="1382"/>
    </row>
    <row r="61" spans="1:14" ht="23.25" x14ac:dyDescent="0.35">
      <c r="A61" s="117"/>
      <c r="B61" s="1407" t="s">
        <v>324</v>
      </c>
      <c r="C61" s="1814">
        <f>SUM(C45:C47)+C55</f>
        <v>196697</v>
      </c>
      <c r="D61" s="1434">
        <f t="shared" ref="D61:E61" si="32">SUM(D45:D47)+D55</f>
        <v>200762</v>
      </c>
      <c r="E61" s="1434">
        <f t="shared" si="32"/>
        <v>191403</v>
      </c>
      <c r="F61" s="1816">
        <f t="shared" ref="F61:F63" si="33">E61/D61%</f>
        <v>95.33826122473377</v>
      </c>
      <c r="G61" s="1813">
        <f>SUM(G45:G55)</f>
        <v>300</v>
      </c>
      <c r="H61" s="1434">
        <f t="shared" ref="H61:I61" si="34">SUM(H45:H55)</f>
        <v>381</v>
      </c>
      <c r="I61" s="1434">
        <f t="shared" si="34"/>
        <v>360</v>
      </c>
      <c r="J61" s="2082">
        <f>I61/H61%</f>
        <v>94.488188976377955</v>
      </c>
      <c r="K61" s="1814">
        <f>SUM(K45:K55)</f>
        <v>196997</v>
      </c>
      <c r="L61" s="1434">
        <f t="shared" ref="L61:M61" si="35">SUM(L45:L55)</f>
        <v>201143</v>
      </c>
      <c r="M61" s="1434">
        <f t="shared" si="35"/>
        <v>191763</v>
      </c>
      <c r="N61" s="1816">
        <f t="shared" ref="N61:N63" si="36">M61/L61%</f>
        <v>95.33665103931034</v>
      </c>
    </row>
    <row r="62" spans="1:14" ht="23.25" x14ac:dyDescent="0.35">
      <c r="A62" s="117"/>
      <c r="B62" s="1407" t="s">
        <v>325</v>
      </c>
      <c r="C62" s="1814">
        <f>SUM(C56:C60)</f>
        <v>338</v>
      </c>
      <c r="D62" s="1434">
        <f t="shared" ref="D62:E62" si="37">SUM(D56:D60)</f>
        <v>338</v>
      </c>
      <c r="E62" s="1434">
        <f t="shared" si="37"/>
        <v>306</v>
      </c>
      <c r="F62" s="1816">
        <f t="shared" si="33"/>
        <v>90.532544378698233</v>
      </c>
      <c r="G62" s="1813">
        <f>SUM(G56:G60)</f>
        <v>0</v>
      </c>
      <c r="H62" s="1434">
        <f t="shared" ref="H62:I62" si="38">SUM(H56:H60)</f>
        <v>0</v>
      </c>
      <c r="I62" s="1434">
        <f t="shared" si="38"/>
        <v>0</v>
      </c>
      <c r="J62" s="2082"/>
      <c r="K62" s="1814">
        <f>SUM(K56:K60)</f>
        <v>338</v>
      </c>
      <c r="L62" s="1434">
        <f t="shared" ref="L62:M62" si="39">SUM(L56:L60)</f>
        <v>338</v>
      </c>
      <c r="M62" s="1434">
        <f t="shared" si="39"/>
        <v>306</v>
      </c>
      <c r="N62" s="1816">
        <f t="shared" si="36"/>
        <v>90.532544378698233</v>
      </c>
    </row>
    <row r="63" spans="1:14" ht="22.5" x14ac:dyDescent="0.3">
      <c r="A63" s="106" t="s">
        <v>310</v>
      </c>
      <c r="B63" s="1350" t="s">
        <v>311</v>
      </c>
      <c r="C63" s="1372">
        <f>SUM(C61:C62)</f>
        <v>197035</v>
      </c>
      <c r="D63" s="1373">
        <f t="shared" ref="D63:E63" si="40">SUM(D61:D62)</f>
        <v>201100</v>
      </c>
      <c r="E63" s="1373">
        <f t="shared" si="40"/>
        <v>191709</v>
      </c>
      <c r="F63" s="1374">
        <f t="shared" si="33"/>
        <v>95.330183988065642</v>
      </c>
      <c r="G63" s="1375">
        <f>SUM(G61:G62)</f>
        <v>300</v>
      </c>
      <c r="H63" s="1373">
        <f t="shared" ref="H63:I63" si="41">SUM(H61:H62)</f>
        <v>381</v>
      </c>
      <c r="I63" s="1373">
        <f t="shared" si="41"/>
        <v>360</v>
      </c>
      <c r="J63" s="2080">
        <f>I63/H63%</f>
        <v>94.488188976377955</v>
      </c>
      <c r="K63" s="1372">
        <f>SUM(K61:K62)</f>
        <v>197335</v>
      </c>
      <c r="L63" s="1373">
        <f t="shared" ref="L63:M63" si="42">SUM(L61:L62)</f>
        <v>201481</v>
      </c>
      <c r="M63" s="1373">
        <f t="shared" si="42"/>
        <v>192069</v>
      </c>
      <c r="N63" s="1374">
        <f t="shared" si="36"/>
        <v>95.328591777884768</v>
      </c>
    </row>
    <row r="64" spans="1:14" ht="23.25" x14ac:dyDescent="0.2">
      <c r="A64" s="107" t="s">
        <v>312</v>
      </c>
      <c r="B64" s="1347" t="s">
        <v>252</v>
      </c>
      <c r="C64" s="1392"/>
      <c r="D64" s="1393"/>
      <c r="E64" s="1393"/>
      <c r="F64" s="1442"/>
      <c r="G64" s="1395"/>
      <c r="H64" s="1393"/>
      <c r="I64" s="1393"/>
      <c r="J64" s="1396"/>
      <c r="K64" s="1392"/>
      <c r="L64" s="1393"/>
      <c r="M64" s="1393"/>
      <c r="N64" s="1442"/>
    </row>
    <row r="65" spans="1:14" ht="23.25" x14ac:dyDescent="0.2">
      <c r="A65" s="107" t="s">
        <v>326</v>
      </c>
      <c r="B65" s="1347" t="s">
        <v>327</v>
      </c>
      <c r="C65" s="930"/>
      <c r="D65" s="525"/>
      <c r="E65" s="525"/>
      <c r="F65" s="775"/>
      <c r="G65" s="924"/>
      <c r="H65" s="525"/>
      <c r="I65" s="525"/>
      <c r="J65" s="918"/>
      <c r="K65" s="930"/>
      <c r="L65" s="525"/>
      <c r="M65" s="525"/>
      <c r="N65" s="775"/>
    </row>
    <row r="66" spans="1:14" ht="22.5" x14ac:dyDescent="0.3">
      <c r="A66" s="116" t="s">
        <v>322</v>
      </c>
      <c r="B66" s="1352" t="s">
        <v>42</v>
      </c>
      <c r="C66" s="1372">
        <f>SUM(C64:C65)</f>
        <v>0</v>
      </c>
      <c r="D66" s="1373">
        <f t="shared" ref="D66:E66" si="43">SUM(D64:D65)</f>
        <v>0</v>
      </c>
      <c r="E66" s="1373">
        <f t="shared" si="43"/>
        <v>0</v>
      </c>
      <c r="F66" s="1441"/>
      <c r="G66" s="1375">
        <f>SUM(G64:G65)</f>
        <v>0</v>
      </c>
      <c r="H66" s="1373">
        <f t="shared" ref="H66:I66" si="44">SUM(H64:H65)</f>
        <v>0</v>
      </c>
      <c r="I66" s="1373">
        <f t="shared" si="44"/>
        <v>0</v>
      </c>
      <c r="J66" s="1376"/>
      <c r="K66" s="1372">
        <f>SUM(K64:K65)</f>
        <v>0</v>
      </c>
      <c r="L66" s="1373">
        <f t="shared" ref="L66:M66" si="45">SUM(L64:L65)</f>
        <v>0</v>
      </c>
      <c r="M66" s="1373">
        <f t="shared" si="45"/>
        <v>0</v>
      </c>
      <c r="N66" s="1441"/>
    </row>
    <row r="67" spans="1:14" ht="23.25" thickBot="1" x14ac:dyDescent="0.35">
      <c r="A67" s="118"/>
      <c r="B67" s="1353" t="s">
        <v>346</v>
      </c>
      <c r="C67" s="1383">
        <f>C63+C66</f>
        <v>197035</v>
      </c>
      <c r="D67" s="1384">
        <f t="shared" ref="D67:E67" si="46">D63+D66</f>
        <v>201100</v>
      </c>
      <c r="E67" s="1384">
        <f t="shared" si="46"/>
        <v>191709</v>
      </c>
      <c r="F67" s="1385">
        <f t="shared" ref="F67" si="47">E67/D67%</f>
        <v>95.330183988065642</v>
      </c>
      <c r="G67" s="1386">
        <f>G63+G66</f>
        <v>300</v>
      </c>
      <c r="H67" s="1384">
        <f t="shared" ref="H67:I67" si="48">H63+H66</f>
        <v>381</v>
      </c>
      <c r="I67" s="1384">
        <f t="shared" si="48"/>
        <v>360</v>
      </c>
      <c r="J67" s="2081">
        <f t="shared" ref="J67" si="49">I67/H67%</f>
        <v>94.488188976377955</v>
      </c>
      <c r="K67" s="1383">
        <f>K63+K66</f>
        <v>197335</v>
      </c>
      <c r="L67" s="1384">
        <f t="shared" ref="L67:M67" si="50">L63+L66</f>
        <v>201481</v>
      </c>
      <c r="M67" s="1384">
        <f t="shared" si="50"/>
        <v>192069</v>
      </c>
      <c r="N67" s="1385">
        <f>M67/L67%</f>
        <v>95.328591777884768</v>
      </c>
    </row>
    <row r="68" spans="1:14" ht="12.75" x14ac:dyDescent="0.2"/>
    <row r="69" spans="1:14" ht="12.75" x14ac:dyDescent="0.2">
      <c r="K69" s="483"/>
      <c r="L69" s="483"/>
      <c r="M69" s="483"/>
      <c r="N69" s="483"/>
    </row>
    <row r="70" spans="1:14" ht="12.75" x14ac:dyDescent="0.2">
      <c r="K70" s="483"/>
      <c r="L70" s="483"/>
      <c r="M70" s="483"/>
      <c r="N70" s="483"/>
    </row>
    <row r="71" spans="1:14" ht="12.75" x14ac:dyDescent="0.2">
      <c r="M71" s="483"/>
    </row>
    <row r="72" spans="1:14" ht="15" customHeight="1" x14ac:dyDescent="0.2">
      <c r="M72" s="483"/>
    </row>
  </sheetData>
  <mergeCells count="13">
    <mergeCell ref="A1:N1"/>
    <mergeCell ref="A2:N2"/>
    <mergeCell ref="A4:N4"/>
    <mergeCell ref="A43:A44"/>
    <mergeCell ref="B43:B44"/>
    <mergeCell ref="C43:F43"/>
    <mergeCell ref="G43:J43"/>
    <mergeCell ref="K43:N43"/>
    <mergeCell ref="A7:A8"/>
    <mergeCell ref="B7:B8"/>
    <mergeCell ref="C7:F7"/>
    <mergeCell ref="G7:J7"/>
    <mergeCell ref="K7:N7"/>
  </mergeCells>
  <printOptions horizontalCentered="1"/>
  <pageMargins left="0.31496062992125984" right="0.27559055118110237" top="0.27559055118110237" bottom="0.31496062992125984" header="0.51181102362204722" footer="0.15748031496062992"/>
  <pageSetup paperSize="9" scale="3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72"/>
  <sheetViews>
    <sheetView view="pageBreakPreview" zoomScale="50" zoomScaleSheetLayoutView="50" workbookViewId="0">
      <selection activeCell="A2" sqref="A2:O2"/>
    </sheetView>
  </sheetViews>
  <sheetFormatPr defaultRowHeight="15" customHeight="1" x14ac:dyDescent="0.2"/>
  <cols>
    <col min="1" max="1" width="9.85546875" style="97" bestFit="1" customWidth="1"/>
    <col min="2" max="2" width="73.85546875" style="97" customWidth="1"/>
    <col min="3" max="3" width="17.42578125" style="97" customWidth="1"/>
    <col min="4" max="4" width="18.42578125" style="97" customWidth="1"/>
    <col min="5" max="5" width="19" style="97" customWidth="1"/>
    <col min="6" max="6" width="15.7109375" style="97" customWidth="1"/>
    <col min="7" max="7" width="19.5703125" style="97" customWidth="1"/>
    <col min="8" max="8" width="18.85546875" style="97" customWidth="1"/>
    <col min="9" max="9" width="20.28515625" style="97" customWidth="1"/>
    <col min="10" max="10" width="16" style="97" customWidth="1"/>
    <col min="11" max="11" width="20.140625" style="97" customWidth="1"/>
    <col min="12" max="12" width="21.140625" style="97" customWidth="1"/>
    <col min="13" max="13" width="21.5703125" style="97" customWidth="1"/>
    <col min="14" max="14" width="16" style="97" customWidth="1"/>
    <col min="15" max="16" width="20.7109375" style="97" customWidth="1"/>
    <col min="17" max="17" width="20.140625" style="97" customWidth="1"/>
    <col min="18" max="18" width="15.7109375" style="97" customWidth="1"/>
    <col min="19" max="16384" width="9.140625" style="97"/>
  </cols>
  <sheetData>
    <row r="1" spans="1:18" s="855" customFormat="1" ht="33.75" x14ac:dyDescent="0.5">
      <c r="A1" s="2454" t="str">
        <f>'8.Német nemzetiségi Ovi'!A1:K1</f>
        <v>Pilisvörösvár Város Önkormányzata Képviselő-testületének 7/2018. (IV. 27.) önkormányzati rendelete</v>
      </c>
      <c r="B1" s="2454"/>
      <c r="C1" s="2454"/>
      <c r="D1" s="2454"/>
      <c r="E1" s="2454"/>
      <c r="F1" s="2454"/>
      <c r="G1" s="2454"/>
      <c r="H1" s="2454"/>
      <c r="I1" s="2454"/>
      <c r="J1" s="2454"/>
      <c r="K1" s="2454"/>
      <c r="L1" s="2454"/>
      <c r="M1" s="2454"/>
      <c r="N1" s="2454"/>
      <c r="O1" s="2454"/>
      <c r="P1" s="2455"/>
      <c r="Q1" s="2455"/>
      <c r="R1" s="2455"/>
    </row>
    <row r="2" spans="1:18" s="855" customFormat="1" ht="33.75" x14ac:dyDescent="0.5">
      <c r="A2" s="2454" t="str">
        <f>'8.Német nemzetiségi Ovi'!A2:K2</f>
        <v>az Önkormányzat  2017. évi zárszámadásáról</v>
      </c>
      <c r="B2" s="2454"/>
      <c r="C2" s="2454"/>
      <c r="D2" s="2454"/>
      <c r="E2" s="2454"/>
      <c r="F2" s="2454"/>
      <c r="G2" s="2454"/>
      <c r="H2" s="2454"/>
      <c r="I2" s="2454"/>
      <c r="J2" s="2454"/>
      <c r="K2" s="2454"/>
      <c r="L2" s="2454"/>
      <c r="M2" s="2454"/>
      <c r="N2" s="2454"/>
      <c r="O2" s="2454"/>
      <c r="P2" s="2455"/>
      <c r="Q2" s="2455"/>
      <c r="R2" s="2455"/>
    </row>
    <row r="3" spans="1:18" s="855" customFormat="1" ht="15" customHeight="1" x14ac:dyDescent="0.45">
      <c r="A3" s="2085"/>
      <c r="B3" s="2085"/>
      <c r="C3" s="2085"/>
      <c r="D3" s="2085"/>
      <c r="E3" s="2085"/>
      <c r="F3" s="2085"/>
      <c r="G3" s="2085"/>
      <c r="H3" s="2085"/>
      <c r="I3" s="2085"/>
      <c r="J3" s="2085"/>
      <c r="K3" s="2085"/>
      <c r="L3" s="2085"/>
      <c r="M3" s="2085"/>
      <c r="N3" s="2085"/>
      <c r="O3" s="2085"/>
      <c r="P3" s="2085"/>
      <c r="Q3" s="2085"/>
      <c r="R3" s="2085"/>
    </row>
    <row r="4" spans="1:18" s="855" customFormat="1" ht="33.75" x14ac:dyDescent="0.5">
      <c r="A4" s="2454" t="str">
        <f>Tartalomjegyzék_2017!B16</f>
        <v>Művészetek Háza költségvetése kötelező, önként vállalt és vállakozási feladat szerinti bontásban</v>
      </c>
      <c r="B4" s="2454"/>
      <c r="C4" s="2454"/>
      <c r="D4" s="2454"/>
      <c r="E4" s="2454"/>
      <c r="F4" s="2454"/>
      <c r="G4" s="2454"/>
      <c r="H4" s="2454"/>
      <c r="I4" s="2454"/>
      <c r="J4" s="2454"/>
      <c r="K4" s="2454"/>
      <c r="L4" s="2454"/>
      <c r="M4" s="2454"/>
      <c r="N4" s="2454"/>
      <c r="O4" s="2454"/>
      <c r="P4" s="2455"/>
      <c r="Q4" s="2455"/>
      <c r="R4" s="2455"/>
    </row>
    <row r="5" spans="1:18" s="855" customFormat="1" ht="33" x14ac:dyDescent="0.45">
      <c r="A5" s="2085"/>
      <c r="B5" s="2085"/>
      <c r="C5" s="2085"/>
      <c r="D5" s="2085"/>
      <c r="E5" s="2085"/>
      <c r="F5" s="2085"/>
      <c r="G5" s="2085"/>
      <c r="H5" s="2085"/>
      <c r="I5" s="2085"/>
      <c r="J5" s="2085"/>
      <c r="K5" s="2085"/>
      <c r="L5" s="2085"/>
      <c r="M5" s="2085"/>
      <c r="N5" s="2085"/>
      <c r="O5" s="2085"/>
      <c r="P5" s="2086"/>
      <c r="Q5" s="2086"/>
      <c r="R5" s="2086" t="s">
        <v>18</v>
      </c>
    </row>
    <row r="6" spans="1:18" s="855" customFormat="1" ht="33.75" thickBot="1" x14ac:dyDescent="0.5">
      <c r="A6" s="2085"/>
      <c r="B6" s="2085"/>
      <c r="C6" s="2085"/>
      <c r="D6" s="2085"/>
      <c r="E6" s="2085"/>
      <c r="F6" s="2085"/>
      <c r="G6" s="2085"/>
      <c r="H6" s="2085"/>
      <c r="I6" s="2085"/>
      <c r="J6" s="2085"/>
      <c r="K6" s="2085"/>
      <c r="L6" s="2085"/>
      <c r="M6" s="2085"/>
      <c r="N6" s="2085"/>
      <c r="O6" s="2085"/>
      <c r="P6" s="2086"/>
      <c r="Q6" s="2086"/>
      <c r="R6" s="2086" t="s">
        <v>323</v>
      </c>
    </row>
    <row r="7" spans="1:18" s="1493" customFormat="1" ht="28.5" x14ac:dyDescent="0.45">
      <c r="A7" s="2419" t="s">
        <v>364</v>
      </c>
      <c r="B7" s="2457" t="s">
        <v>799</v>
      </c>
      <c r="C7" s="2451" t="s">
        <v>152</v>
      </c>
      <c r="D7" s="2452"/>
      <c r="E7" s="2452"/>
      <c r="F7" s="2453"/>
      <c r="G7" s="2456" t="s">
        <v>1107</v>
      </c>
      <c r="H7" s="2452"/>
      <c r="I7" s="2452"/>
      <c r="J7" s="2459"/>
      <c r="K7" s="2451" t="s">
        <v>775</v>
      </c>
      <c r="L7" s="2452"/>
      <c r="M7" s="2452"/>
      <c r="N7" s="2453"/>
      <c r="O7" s="2451" t="s">
        <v>444</v>
      </c>
      <c r="P7" s="2452"/>
      <c r="Q7" s="2452"/>
      <c r="R7" s="2453"/>
    </row>
    <row r="8" spans="1:18" s="1341" customFormat="1" ht="135" x14ac:dyDescent="0.35">
      <c r="A8" s="2431"/>
      <c r="B8" s="2458" t="s">
        <v>799</v>
      </c>
      <c r="C8" s="1807" t="s">
        <v>1004</v>
      </c>
      <c r="D8" s="1808" t="s">
        <v>1066</v>
      </c>
      <c r="E8" s="1808" t="s">
        <v>1103</v>
      </c>
      <c r="F8" s="1809" t="s">
        <v>1084</v>
      </c>
      <c r="G8" s="1810" t="s">
        <v>1005</v>
      </c>
      <c r="H8" s="1808" t="s">
        <v>1067</v>
      </c>
      <c r="I8" s="1808" t="s">
        <v>1106</v>
      </c>
      <c r="J8" s="1811" t="s">
        <v>1084</v>
      </c>
      <c r="K8" s="1807" t="s">
        <v>1006</v>
      </c>
      <c r="L8" s="1808" t="s">
        <v>1068</v>
      </c>
      <c r="M8" s="1808" t="s">
        <v>1109</v>
      </c>
      <c r="N8" s="1809" t="s">
        <v>1084</v>
      </c>
      <c r="O8" s="1807" t="s">
        <v>1007</v>
      </c>
      <c r="P8" s="1808" t="s">
        <v>1069</v>
      </c>
      <c r="Q8" s="1808" t="s">
        <v>1108</v>
      </c>
      <c r="R8" s="1809" t="s">
        <v>1084</v>
      </c>
    </row>
    <row r="9" spans="1:18" s="53" customFormat="1" ht="30.75" x14ac:dyDescent="0.45">
      <c r="A9" s="105" t="s">
        <v>374</v>
      </c>
      <c r="B9" s="1730" t="s">
        <v>373</v>
      </c>
      <c r="C9" s="2087"/>
      <c r="D9" s="2088"/>
      <c r="E9" s="2088"/>
      <c r="F9" s="2089"/>
      <c r="G9" s="2090"/>
      <c r="H9" s="2088"/>
      <c r="I9" s="2088"/>
      <c r="J9" s="2091"/>
      <c r="K9" s="2087"/>
      <c r="L9" s="2088"/>
      <c r="M9" s="2088"/>
      <c r="N9" s="2089"/>
      <c r="O9" s="2087">
        <f>C9+G9+K9</f>
        <v>0</v>
      </c>
      <c r="P9" s="2088">
        <f t="shared" ref="P9:Q9" si="0">D9+H9+L9</f>
        <v>0</v>
      </c>
      <c r="Q9" s="2088">
        <f t="shared" si="0"/>
        <v>0</v>
      </c>
      <c r="R9" s="2089"/>
    </row>
    <row r="10" spans="1:18" s="53" customFormat="1" ht="52.5" x14ac:dyDescent="0.45">
      <c r="A10" s="105" t="s">
        <v>376</v>
      </c>
      <c r="B10" s="1730" t="s">
        <v>375</v>
      </c>
      <c r="C10" s="2087"/>
      <c r="D10" s="2088"/>
      <c r="E10" s="2088"/>
      <c r="F10" s="2089"/>
      <c r="G10" s="2090"/>
      <c r="H10" s="2088"/>
      <c r="I10" s="2088"/>
      <c r="J10" s="2091"/>
      <c r="K10" s="2087"/>
      <c r="L10" s="2088"/>
      <c r="M10" s="2088"/>
      <c r="N10" s="2089"/>
      <c r="O10" s="2087">
        <f t="shared" ref="O10:O29" si="1">C10+G10+K10</f>
        <v>0</v>
      </c>
      <c r="P10" s="2088">
        <f t="shared" ref="P10:P29" si="2">D10+H10+L10</f>
        <v>0</v>
      </c>
      <c r="Q10" s="2088">
        <f t="shared" ref="Q10:Q29" si="3">E10+I10+M10</f>
        <v>0</v>
      </c>
      <c r="R10" s="2089"/>
    </row>
    <row r="11" spans="1:18" s="53" customFormat="1" ht="51" x14ac:dyDescent="0.45">
      <c r="A11" s="109" t="s">
        <v>378</v>
      </c>
      <c r="B11" s="1731" t="s">
        <v>377</v>
      </c>
      <c r="C11" s="2092"/>
      <c r="D11" s="2093"/>
      <c r="E11" s="2093"/>
      <c r="F11" s="2094"/>
      <c r="G11" s="2095"/>
      <c r="H11" s="2093"/>
      <c r="I11" s="2093"/>
      <c r="J11" s="2096"/>
      <c r="K11" s="2092"/>
      <c r="L11" s="2093"/>
      <c r="M11" s="2093"/>
      <c r="N11" s="2094"/>
      <c r="O11" s="2087">
        <f t="shared" si="1"/>
        <v>0</v>
      </c>
      <c r="P11" s="2088">
        <f t="shared" si="2"/>
        <v>0</v>
      </c>
      <c r="Q11" s="2088">
        <f t="shared" si="3"/>
        <v>0</v>
      </c>
      <c r="R11" s="2089"/>
    </row>
    <row r="12" spans="1:18" ht="51" x14ac:dyDescent="0.45">
      <c r="A12" s="109" t="s">
        <v>382</v>
      </c>
      <c r="B12" s="1731" t="s">
        <v>381</v>
      </c>
      <c r="C12" s="2092"/>
      <c r="D12" s="2093"/>
      <c r="E12" s="2093"/>
      <c r="F12" s="2094"/>
      <c r="G12" s="2095"/>
      <c r="H12" s="2093"/>
      <c r="I12" s="2093"/>
      <c r="J12" s="2096"/>
      <c r="K12" s="2092"/>
      <c r="L12" s="2093"/>
      <c r="M12" s="2093"/>
      <c r="N12" s="2094"/>
      <c r="O12" s="2087">
        <f t="shared" si="1"/>
        <v>0</v>
      </c>
      <c r="P12" s="2088">
        <f t="shared" si="2"/>
        <v>0</v>
      </c>
      <c r="Q12" s="2088">
        <f t="shared" si="3"/>
        <v>0</v>
      </c>
      <c r="R12" s="2089"/>
    </row>
    <row r="13" spans="1:18" ht="52.5" x14ac:dyDescent="0.45">
      <c r="A13" s="484" t="s">
        <v>146</v>
      </c>
      <c r="B13" s="1806" t="s">
        <v>157</v>
      </c>
      <c r="C13" s="2092"/>
      <c r="D13" s="2093"/>
      <c r="E13" s="2093"/>
      <c r="F13" s="2094"/>
      <c r="G13" s="2095"/>
      <c r="H13" s="2093"/>
      <c r="I13" s="2093"/>
      <c r="J13" s="2096"/>
      <c r="K13" s="2092"/>
      <c r="L13" s="2093"/>
      <c r="M13" s="2093"/>
      <c r="N13" s="2094"/>
      <c r="O13" s="2087">
        <f t="shared" si="1"/>
        <v>0</v>
      </c>
      <c r="P13" s="2088">
        <f t="shared" si="2"/>
        <v>0</v>
      </c>
      <c r="Q13" s="2088">
        <f t="shared" si="3"/>
        <v>0</v>
      </c>
      <c r="R13" s="2089"/>
    </row>
    <row r="14" spans="1:18" s="53" customFormat="1" ht="52.5" x14ac:dyDescent="0.45">
      <c r="A14" s="105" t="s">
        <v>103</v>
      </c>
      <c r="B14" s="1730" t="s">
        <v>156</v>
      </c>
      <c r="C14" s="2087"/>
      <c r="D14" s="2088"/>
      <c r="E14" s="2088"/>
      <c r="F14" s="2089"/>
      <c r="G14" s="2090"/>
      <c r="H14" s="2088"/>
      <c r="I14" s="2088"/>
      <c r="J14" s="2091"/>
      <c r="K14" s="2087"/>
      <c r="L14" s="2088"/>
      <c r="M14" s="2088"/>
      <c r="N14" s="2089"/>
      <c r="O14" s="2087">
        <f t="shared" si="1"/>
        <v>0</v>
      </c>
      <c r="P14" s="2088">
        <f t="shared" si="2"/>
        <v>0</v>
      </c>
      <c r="Q14" s="2088">
        <f t="shared" si="3"/>
        <v>0</v>
      </c>
      <c r="R14" s="2089"/>
    </row>
    <row r="15" spans="1:18" s="53" customFormat="1" ht="30.75" x14ac:dyDescent="0.45">
      <c r="A15" s="105" t="s">
        <v>385</v>
      </c>
      <c r="B15" s="1730" t="s">
        <v>153</v>
      </c>
      <c r="C15" s="2087"/>
      <c r="D15" s="2088"/>
      <c r="E15" s="2088"/>
      <c r="F15" s="2089"/>
      <c r="G15" s="2090"/>
      <c r="H15" s="2088"/>
      <c r="I15" s="2088"/>
      <c r="J15" s="2091"/>
      <c r="K15" s="2087"/>
      <c r="L15" s="2088"/>
      <c r="M15" s="2088"/>
      <c r="N15" s="2089"/>
      <c r="O15" s="2087">
        <f t="shared" si="1"/>
        <v>0</v>
      </c>
      <c r="P15" s="2088">
        <f t="shared" si="2"/>
        <v>0</v>
      </c>
      <c r="Q15" s="2088">
        <f t="shared" si="3"/>
        <v>0</v>
      </c>
      <c r="R15" s="2089"/>
    </row>
    <row r="16" spans="1:18" s="53" customFormat="1" ht="30.75" x14ac:dyDescent="0.45">
      <c r="A16" s="109" t="s">
        <v>387</v>
      </c>
      <c r="B16" s="1731" t="s">
        <v>386</v>
      </c>
      <c r="C16" s="2092"/>
      <c r="D16" s="2097"/>
      <c r="E16" s="2097"/>
      <c r="F16" s="2098"/>
      <c r="G16" s="2099"/>
      <c r="H16" s="2097"/>
      <c r="I16" s="2097"/>
      <c r="J16" s="2096"/>
      <c r="K16" s="2092"/>
      <c r="L16" s="2093"/>
      <c r="M16" s="2093"/>
      <c r="N16" s="2094"/>
      <c r="O16" s="2087">
        <f t="shared" si="1"/>
        <v>0</v>
      </c>
      <c r="P16" s="2088">
        <f t="shared" si="2"/>
        <v>0</v>
      </c>
      <c r="Q16" s="2088">
        <f t="shared" si="3"/>
        <v>0</v>
      </c>
      <c r="R16" s="2089"/>
    </row>
    <row r="17" spans="1:18" s="53" customFormat="1" ht="30.75" x14ac:dyDescent="0.45">
      <c r="A17" s="105" t="s">
        <v>114</v>
      </c>
      <c r="B17" s="1733" t="s">
        <v>388</v>
      </c>
      <c r="C17" s="2087"/>
      <c r="D17" s="2100"/>
      <c r="E17" s="2100"/>
      <c r="F17" s="2101"/>
      <c r="G17" s="2102"/>
      <c r="H17" s="2100"/>
      <c r="I17" s="2100"/>
      <c r="J17" s="2091"/>
      <c r="K17" s="2087">
        <v>5374</v>
      </c>
      <c r="L17" s="2088">
        <f>'3. Gesz költségvetés'!O13</f>
        <v>6452</v>
      </c>
      <c r="M17" s="2088">
        <f>'3. Gesz költségvetés'!P13</f>
        <v>6499</v>
      </c>
      <c r="N17" s="2103">
        <f>M17/L17%</f>
        <v>100.72845629262245</v>
      </c>
      <c r="O17" s="2087">
        <f t="shared" si="1"/>
        <v>5374</v>
      </c>
      <c r="P17" s="2088">
        <f t="shared" si="2"/>
        <v>6452</v>
      </c>
      <c r="Q17" s="2088">
        <f t="shared" si="3"/>
        <v>6499</v>
      </c>
      <c r="R17" s="2103">
        <f>Q17/P17%</f>
        <v>100.72845629262245</v>
      </c>
    </row>
    <row r="18" spans="1:18" s="53" customFormat="1" ht="30.75" x14ac:dyDescent="0.45">
      <c r="A18" s="105" t="s">
        <v>113</v>
      </c>
      <c r="B18" s="1730" t="s">
        <v>116</v>
      </c>
      <c r="C18" s="2087">
        <v>14600</v>
      </c>
      <c r="D18" s="2100">
        <f>'3. Gesz költségvetés'!O20-H18</f>
        <v>15782</v>
      </c>
      <c r="E18" s="2100">
        <f>'3. Gesz költségvetés'!P20-I18</f>
        <v>15751</v>
      </c>
      <c r="F18" s="2104">
        <f>E18/D18%</f>
        <v>99.803573691547342</v>
      </c>
      <c r="G18" s="2102">
        <v>4500</v>
      </c>
      <c r="H18" s="2100">
        <f>'3. Gesz költségvetés'!O19</f>
        <v>4500</v>
      </c>
      <c r="I18" s="2100">
        <f>'3. Gesz költségvetés'!P19</f>
        <v>6937</v>
      </c>
      <c r="J18" s="2105">
        <f>I18/H18%</f>
        <v>154.15555555555557</v>
      </c>
      <c r="K18" s="2087"/>
      <c r="L18" s="2088"/>
      <c r="M18" s="2088"/>
      <c r="N18" s="2089"/>
      <c r="O18" s="2087">
        <f t="shared" si="1"/>
        <v>19100</v>
      </c>
      <c r="P18" s="2088">
        <f t="shared" si="2"/>
        <v>20282</v>
      </c>
      <c r="Q18" s="2088">
        <f t="shared" si="3"/>
        <v>22688</v>
      </c>
      <c r="R18" s="2103">
        <f>Q18/P18%</f>
        <v>111.86273543043093</v>
      </c>
    </row>
    <row r="19" spans="1:18" s="53" customFormat="1" ht="52.5" x14ac:dyDescent="0.45">
      <c r="A19" s="105" t="s">
        <v>112</v>
      </c>
      <c r="B19" s="1730" t="s">
        <v>107</v>
      </c>
      <c r="C19" s="2087"/>
      <c r="D19" s="2100"/>
      <c r="E19" s="2100"/>
      <c r="F19" s="2101"/>
      <c r="G19" s="2102"/>
      <c r="H19" s="2100"/>
      <c r="I19" s="2100"/>
      <c r="J19" s="2091"/>
      <c r="K19" s="2087"/>
      <c r="L19" s="2088"/>
      <c r="M19" s="2088"/>
      <c r="N19" s="2089"/>
      <c r="O19" s="2087">
        <f t="shared" si="1"/>
        <v>0</v>
      </c>
      <c r="P19" s="2088">
        <f t="shared" si="2"/>
        <v>0</v>
      </c>
      <c r="Q19" s="2088">
        <f t="shared" si="3"/>
        <v>0</v>
      </c>
      <c r="R19" s="2089"/>
    </row>
    <row r="20" spans="1:18" s="53" customFormat="1" ht="30.75" x14ac:dyDescent="0.45">
      <c r="A20" s="105" t="s">
        <v>395</v>
      </c>
      <c r="B20" s="1730" t="s">
        <v>394</v>
      </c>
      <c r="C20" s="2087"/>
      <c r="D20" s="2100"/>
      <c r="E20" s="2100"/>
      <c r="F20" s="2101"/>
      <c r="G20" s="2102"/>
      <c r="H20" s="2100"/>
      <c r="I20" s="2100"/>
      <c r="J20" s="2091"/>
      <c r="K20" s="2087"/>
      <c r="L20" s="2088"/>
      <c r="M20" s="2088"/>
      <c r="N20" s="2089"/>
      <c r="O20" s="2087">
        <f t="shared" si="1"/>
        <v>0</v>
      </c>
      <c r="P20" s="2088">
        <f t="shared" si="2"/>
        <v>0</v>
      </c>
      <c r="Q20" s="2088">
        <f t="shared" si="3"/>
        <v>0</v>
      </c>
      <c r="R20" s="2089"/>
    </row>
    <row r="21" spans="1:18" s="53" customFormat="1" ht="30.75" x14ac:dyDescent="0.45">
      <c r="A21" s="105" t="s">
        <v>397</v>
      </c>
      <c r="B21" s="1730" t="s">
        <v>396</v>
      </c>
      <c r="C21" s="2087"/>
      <c r="D21" s="2100"/>
      <c r="E21" s="2100"/>
      <c r="F21" s="2101"/>
      <c r="G21" s="2102"/>
      <c r="H21" s="2100"/>
      <c r="I21" s="2100"/>
      <c r="J21" s="2091"/>
      <c r="K21" s="2087"/>
      <c r="L21" s="2088"/>
      <c r="M21" s="2088"/>
      <c r="N21" s="2089"/>
      <c r="O21" s="2087">
        <f t="shared" si="1"/>
        <v>0</v>
      </c>
      <c r="P21" s="2088">
        <f t="shared" si="2"/>
        <v>0</v>
      </c>
      <c r="Q21" s="2088">
        <f t="shared" si="3"/>
        <v>0</v>
      </c>
      <c r="R21" s="2089"/>
    </row>
    <row r="22" spans="1:18" s="53" customFormat="1" ht="30.75" x14ac:dyDescent="0.45">
      <c r="A22" s="105" t="s">
        <v>401</v>
      </c>
      <c r="B22" s="1730" t="s">
        <v>400</v>
      </c>
      <c r="C22" s="2087"/>
      <c r="D22" s="2100"/>
      <c r="E22" s="2100"/>
      <c r="F22" s="2101"/>
      <c r="G22" s="2102"/>
      <c r="H22" s="2100"/>
      <c r="I22" s="2100"/>
      <c r="J22" s="2091"/>
      <c r="K22" s="2087"/>
      <c r="L22" s="2088"/>
      <c r="M22" s="2088"/>
      <c r="N22" s="2089"/>
      <c r="O22" s="2087">
        <f t="shared" si="1"/>
        <v>0</v>
      </c>
      <c r="P22" s="2088">
        <f t="shared" si="2"/>
        <v>0</v>
      </c>
      <c r="Q22" s="2088">
        <f t="shared" si="3"/>
        <v>0</v>
      </c>
      <c r="R22" s="2089"/>
    </row>
    <row r="23" spans="1:18" s="53" customFormat="1" ht="30.75" x14ac:dyDescent="0.45">
      <c r="A23" s="105" t="s">
        <v>1112</v>
      </c>
      <c r="B23" s="1730" t="s">
        <v>980</v>
      </c>
      <c r="C23" s="2087"/>
      <c r="D23" s="2100">
        <f>'3. Gesz költségvetés'!O23</f>
        <v>5</v>
      </c>
      <c r="E23" s="2100">
        <f>'3. Gesz költségvetés'!P23</f>
        <v>5</v>
      </c>
      <c r="F23" s="2101"/>
      <c r="G23" s="2102"/>
      <c r="H23" s="2100"/>
      <c r="I23" s="2100"/>
      <c r="J23" s="2091"/>
      <c r="K23" s="2087"/>
      <c r="L23" s="2088"/>
      <c r="M23" s="2088"/>
      <c r="N23" s="2089"/>
      <c r="O23" s="2087">
        <f t="shared" ref="O23" si="4">C23+G23+K23</f>
        <v>0</v>
      </c>
      <c r="P23" s="2088">
        <f t="shared" ref="P23" si="5">D23+H23+L23</f>
        <v>5</v>
      </c>
      <c r="Q23" s="2088">
        <f t="shared" ref="Q23" si="6">E23+I23+M23</f>
        <v>5</v>
      </c>
      <c r="R23" s="2089"/>
    </row>
    <row r="24" spans="1:18" s="53" customFormat="1" ht="30.75" x14ac:dyDescent="0.45">
      <c r="A24" s="109" t="s">
        <v>403</v>
      </c>
      <c r="B24" s="1734" t="s">
        <v>402</v>
      </c>
      <c r="C24" s="2092">
        <f>SUM(C17:C22)</f>
        <v>14600</v>
      </c>
      <c r="D24" s="2097">
        <f>SUM(D17:D23)</f>
        <v>15787</v>
      </c>
      <c r="E24" s="2097">
        <f>SUM(E17:E23)</f>
        <v>15756</v>
      </c>
      <c r="F24" s="2104">
        <f>E24/D24%</f>
        <v>99.803635902958121</v>
      </c>
      <c r="G24" s="2099">
        <f t="shared" ref="G24:M24" si="7">SUM(G17:G22)</f>
        <v>4500</v>
      </c>
      <c r="H24" s="2097">
        <f t="shared" si="7"/>
        <v>4500</v>
      </c>
      <c r="I24" s="2097">
        <f t="shared" si="7"/>
        <v>6937</v>
      </c>
      <c r="J24" s="2105">
        <f>I24/H24%</f>
        <v>154.15555555555557</v>
      </c>
      <c r="K24" s="2092">
        <f t="shared" si="7"/>
        <v>5374</v>
      </c>
      <c r="L24" s="2093">
        <f t="shared" si="7"/>
        <v>6452</v>
      </c>
      <c r="M24" s="2093">
        <f t="shared" si="7"/>
        <v>6499</v>
      </c>
      <c r="N24" s="2103">
        <f>M24/L24%</f>
        <v>100.72845629262245</v>
      </c>
      <c r="O24" s="2087">
        <f t="shared" si="1"/>
        <v>24474</v>
      </c>
      <c r="P24" s="2088">
        <f t="shared" si="2"/>
        <v>26739</v>
      </c>
      <c r="Q24" s="2088">
        <f t="shared" si="3"/>
        <v>29192</v>
      </c>
      <c r="R24" s="2103">
        <f>Q24/P24%</f>
        <v>109.1738658887767</v>
      </c>
    </row>
    <row r="25" spans="1:18" s="53" customFormat="1" ht="30.75" x14ac:dyDescent="0.45">
      <c r="A25" s="109" t="s">
        <v>409</v>
      </c>
      <c r="B25" s="1731" t="s">
        <v>408</v>
      </c>
      <c r="C25" s="2092"/>
      <c r="D25" s="2097"/>
      <c r="E25" s="2097"/>
      <c r="F25" s="2098"/>
      <c r="G25" s="2099"/>
      <c r="H25" s="2097"/>
      <c r="I25" s="2097"/>
      <c r="J25" s="2096"/>
      <c r="K25" s="2092"/>
      <c r="L25" s="2093"/>
      <c r="M25" s="2093"/>
      <c r="N25" s="2094"/>
      <c r="O25" s="2087">
        <f t="shared" si="1"/>
        <v>0</v>
      </c>
      <c r="P25" s="2088">
        <f t="shared" si="2"/>
        <v>0</v>
      </c>
      <c r="Q25" s="2088">
        <f t="shared" si="3"/>
        <v>0</v>
      </c>
      <c r="R25" s="2103"/>
    </row>
    <row r="26" spans="1:18" s="53" customFormat="1" ht="30.75" x14ac:dyDescent="0.45">
      <c r="A26" s="109" t="s">
        <v>413</v>
      </c>
      <c r="B26" s="1731" t="s">
        <v>412</v>
      </c>
      <c r="C26" s="2092"/>
      <c r="D26" s="2097">
        <f>'3. Gesz költségvetés'!O25</f>
        <v>760</v>
      </c>
      <c r="E26" s="2097">
        <f>'3. Gesz költségvetés'!P25</f>
        <v>760</v>
      </c>
      <c r="F26" s="2104">
        <f>E26/D26%</f>
        <v>100</v>
      </c>
      <c r="G26" s="2099"/>
      <c r="H26" s="2097"/>
      <c r="I26" s="2097"/>
      <c r="J26" s="2096"/>
      <c r="K26" s="2092"/>
      <c r="L26" s="2093"/>
      <c r="M26" s="2093"/>
      <c r="N26" s="2094"/>
      <c r="O26" s="2087">
        <f t="shared" si="1"/>
        <v>0</v>
      </c>
      <c r="P26" s="2088">
        <f t="shared" si="2"/>
        <v>760</v>
      </c>
      <c r="Q26" s="2088">
        <f t="shared" si="3"/>
        <v>760</v>
      </c>
      <c r="R26" s="2103">
        <f t="shared" ref="R26" si="8">Q26/P26%</f>
        <v>100</v>
      </c>
    </row>
    <row r="27" spans="1:18" s="53" customFormat="1" ht="78.75" x14ac:dyDescent="0.45">
      <c r="A27" s="105" t="s">
        <v>415</v>
      </c>
      <c r="B27" s="1730" t="s">
        <v>414</v>
      </c>
      <c r="C27" s="2092"/>
      <c r="D27" s="2097"/>
      <c r="E27" s="2097"/>
      <c r="F27" s="2098"/>
      <c r="G27" s="2099"/>
      <c r="H27" s="2097"/>
      <c r="I27" s="2097"/>
      <c r="J27" s="2096"/>
      <c r="K27" s="2092"/>
      <c r="L27" s="2093"/>
      <c r="M27" s="2093"/>
      <c r="N27" s="2094"/>
      <c r="O27" s="2087">
        <f t="shared" si="1"/>
        <v>0</v>
      </c>
      <c r="P27" s="2088">
        <f t="shared" si="2"/>
        <v>0</v>
      </c>
      <c r="Q27" s="2088">
        <f t="shared" si="3"/>
        <v>0</v>
      </c>
      <c r="R27" s="2089"/>
    </row>
    <row r="28" spans="1:18" s="53" customFormat="1" ht="52.5" x14ac:dyDescent="0.45">
      <c r="A28" s="105" t="s">
        <v>417</v>
      </c>
      <c r="B28" s="1733" t="s">
        <v>416</v>
      </c>
      <c r="C28" s="2092"/>
      <c r="D28" s="2093"/>
      <c r="E28" s="2093"/>
      <c r="F28" s="2094"/>
      <c r="G28" s="2095"/>
      <c r="H28" s="2093"/>
      <c r="I28" s="2093"/>
      <c r="J28" s="2096"/>
      <c r="K28" s="2092"/>
      <c r="L28" s="2093"/>
      <c r="M28" s="2093"/>
      <c r="N28" s="2094"/>
      <c r="O28" s="2087">
        <f t="shared" si="1"/>
        <v>0</v>
      </c>
      <c r="P28" s="2088">
        <f t="shared" si="2"/>
        <v>0</v>
      </c>
      <c r="Q28" s="2088">
        <f t="shared" si="3"/>
        <v>0</v>
      </c>
      <c r="R28" s="2089"/>
    </row>
    <row r="29" spans="1:18" s="53" customFormat="1" ht="30.75" x14ac:dyDescent="0.45">
      <c r="A29" s="109" t="s">
        <v>419</v>
      </c>
      <c r="B29" s="1731" t="s">
        <v>418</v>
      </c>
      <c r="C29" s="2092"/>
      <c r="D29" s="2093"/>
      <c r="E29" s="2093"/>
      <c r="F29" s="2094"/>
      <c r="G29" s="2095"/>
      <c r="H29" s="2093"/>
      <c r="I29" s="2093"/>
      <c r="J29" s="2096"/>
      <c r="K29" s="2092"/>
      <c r="L29" s="2093"/>
      <c r="M29" s="2093"/>
      <c r="N29" s="2094"/>
      <c r="O29" s="2087">
        <f t="shared" si="1"/>
        <v>0</v>
      </c>
      <c r="P29" s="2088">
        <f t="shared" si="2"/>
        <v>0</v>
      </c>
      <c r="Q29" s="2088">
        <f t="shared" si="3"/>
        <v>0</v>
      </c>
      <c r="R29" s="2089"/>
    </row>
    <row r="30" spans="1:18" s="53" customFormat="1" ht="30" x14ac:dyDescent="0.4">
      <c r="A30" s="111"/>
      <c r="B30" s="1735" t="s">
        <v>92</v>
      </c>
      <c r="C30" s="2106">
        <f>C11+C12+C16+C24+C26</f>
        <v>14600</v>
      </c>
      <c r="D30" s="2107">
        <f t="shared" ref="D30:E30" si="9">D11+D12+D16+D24+D26</f>
        <v>16547</v>
      </c>
      <c r="E30" s="2107">
        <f t="shared" si="9"/>
        <v>16516</v>
      </c>
      <c r="F30" s="2108">
        <f>E30/D30%</f>
        <v>99.812654861908499</v>
      </c>
      <c r="G30" s="2109">
        <f>G11+G12+G16+G24+G26</f>
        <v>4500</v>
      </c>
      <c r="H30" s="2107">
        <f t="shared" ref="H30:I30" si="10">H11+H12+H16+H24+H26</f>
        <v>4500</v>
      </c>
      <c r="I30" s="2107">
        <f t="shared" si="10"/>
        <v>6937</v>
      </c>
      <c r="J30" s="2110">
        <f>I30/H30%</f>
        <v>154.15555555555557</v>
      </c>
      <c r="K30" s="2106">
        <f>K11+K12+K16+K24+K26</f>
        <v>5374</v>
      </c>
      <c r="L30" s="2107">
        <f t="shared" ref="L30:M30" si="11">L11+L12+L16+L24+L26</f>
        <v>6452</v>
      </c>
      <c r="M30" s="2107">
        <f t="shared" si="11"/>
        <v>6499</v>
      </c>
      <c r="N30" s="2108">
        <f>M30/L30%</f>
        <v>100.72845629262245</v>
      </c>
      <c r="O30" s="2106">
        <f>O11+O12+O16+O24+O26</f>
        <v>24474</v>
      </c>
      <c r="P30" s="2107">
        <f>P11+P12+P16+P24+P26</f>
        <v>27499</v>
      </c>
      <c r="Q30" s="2107">
        <f t="shared" ref="Q30" si="12">Q11+Q12+Q16+Q24+Q26</f>
        <v>29952</v>
      </c>
      <c r="R30" s="2108">
        <f>Q30/P30%</f>
        <v>108.92032437543183</v>
      </c>
    </row>
    <row r="31" spans="1:18" ht="30" x14ac:dyDescent="0.4">
      <c r="A31" s="111"/>
      <c r="B31" s="1735" t="s">
        <v>93</v>
      </c>
      <c r="C31" s="2106">
        <f>C25+C29</f>
        <v>0</v>
      </c>
      <c r="D31" s="2107">
        <f t="shared" ref="D31:E31" si="13">D25+D29</f>
        <v>0</v>
      </c>
      <c r="E31" s="2107">
        <f t="shared" si="13"/>
        <v>0</v>
      </c>
      <c r="F31" s="2111"/>
      <c r="G31" s="2109">
        <f>G25+G29</f>
        <v>0</v>
      </c>
      <c r="H31" s="2107">
        <f t="shared" ref="H31:I31" si="14">H25+H29</f>
        <v>0</v>
      </c>
      <c r="I31" s="2107">
        <f t="shared" si="14"/>
        <v>0</v>
      </c>
      <c r="J31" s="2112"/>
      <c r="K31" s="2106">
        <f>K25+K29</f>
        <v>0</v>
      </c>
      <c r="L31" s="2107">
        <f t="shared" ref="L31:M31" si="15">L25+L29</f>
        <v>0</v>
      </c>
      <c r="M31" s="2107">
        <f t="shared" si="15"/>
        <v>0</v>
      </c>
      <c r="N31" s="2111"/>
      <c r="O31" s="2106">
        <f>O25+O29</f>
        <v>0</v>
      </c>
      <c r="P31" s="2107">
        <f t="shared" ref="P31:Q31" si="16">P25+P29</f>
        <v>0</v>
      </c>
      <c r="Q31" s="2107">
        <f t="shared" si="16"/>
        <v>0</v>
      </c>
      <c r="R31" s="2108"/>
    </row>
    <row r="32" spans="1:18" ht="30" x14ac:dyDescent="0.4">
      <c r="A32" s="106" t="s">
        <v>421</v>
      </c>
      <c r="B32" s="1736" t="s">
        <v>420</v>
      </c>
      <c r="C32" s="2113">
        <f>SUM(C30:C31)</f>
        <v>14600</v>
      </c>
      <c r="D32" s="2114">
        <f t="shared" ref="D32:E32" si="17">SUM(D30:D31)</f>
        <v>16547</v>
      </c>
      <c r="E32" s="2114">
        <f t="shared" si="17"/>
        <v>16516</v>
      </c>
      <c r="F32" s="2115">
        <f>E32/D32%</f>
        <v>99.812654861908499</v>
      </c>
      <c r="G32" s="2116">
        <f>SUM(G30:G31)</f>
        <v>4500</v>
      </c>
      <c r="H32" s="2114">
        <f t="shared" ref="H32:I32" si="18">SUM(H30:H31)</f>
        <v>4500</v>
      </c>
      <c r="I32" s="2114">
        <f t="shared" si="18"/>
        <v>6937</v>
      </c>
      <c r="J32" s="2117">
        <f>I32/H32%</f>
        <v>154.15555555555557</v>
      </c>
      <c r="K32" s="2113">
        <f>SUM(K30:K31)</f>
        <v>5374</v>
      </c>
      <c r="L32" s="2114">
        <f t="shared" ref="L32:M32" si="19">SUM(L30:L31)</f>
        <v>6452</v>
      </c>
      <c r="M32" s="2114">
        <f t="shared" si="19"/>
        <v>6499</v>
      </c>
      <c r="N32" s="2115">
        <f>M32/L32%</f>
        <v>100.72845629262245</v>
      </c>
      <c r="O32" s="2113">
        <f>SUM(O30:O31)</f>
        <v>24474</v>
      </c>
      <c r="P32" s="2114">
        <f t="shared" ref="P32:Q32" si="20">SUM(P30:P31)</f>
        <v>27499</v>
      </c>
      <c r="Q32" s="2114">
        <f t="shared" si="20"/>
        <v>29952</v>
      </c>
      <c r="R32" s="2115">
        <f>Q32/P32%</f>
        <v>108.92032437543183</v>
      </c>
    </row>
    <row r="33" spans="1:18" ht="30.75" x14ac:dyDescent="0.45">
      <c r="A33" s="112"/>
      <c r="B33" s="1737" t="s">
        <v>422</v>
      </c>
      <c r="C33" s="2118">
        <f>C30-C61</f>
        <v>-68170</v>
      </c>
      <c r="D33" s="2119">
        <f t="shared" ref="D33:E33" si="21">D30-D61</f>
        <v>-72090</v>
      </c>
      <c r="E33" s="2119">
        <f t="shared" si="21"/>
        <v>-65390</v>
      </c>
      <c r="F33" s="2120"/>
      <c r="G33" s="2121">
        <f>G30-G61</f>
        <v>0</v>
      </c>
      <c r="H33" s="2119">
        <f t="shared" ref="H33:I33" si="22">H30-H61</f>
        <v>0</v>
      </c>
      <c r="I33" s="2119">
        <f t="shared" si="22"/>
        <v>0</v>
      </c>
      <c r="J33" s="2122"/>
      <c r="K33" s="2118">
        <f>K30-K61</f>
        <v>182</v>
      </c>
      <c r="L33" s="2119">
        <f t="shared" ref="L33:M33" si="23">L30-L61</f>
        <v>248</v>
      </c>
      <c r="M33" s="2119">
        <f t="shared" si="23"/>
        <v>295</v>
      </c>
      <c r="N33" s="2120"/>
      <c r="O33" s="2118">
        <f>O30-O61</f>
        <v>-67988</v>
      </c>
      <c r="P33" s="2119">
        <f t="shared" ref="P33:Q33" si="24">P30-P61</f>
        <v>-71842</v>
      </c>
      <c r="Q33" s="2119">
        <f t="shared" si="24"/>
        <v>-65095</v>
      </c>
      <c r="R33" s="2120"/>
    </row>
    <row r="34" spans="1:18" ht="30.75" x14ac:dyDescent="0.45">
      <c r="A34" s="112"/>
      <c r="B34" s="1737" t="s">
        <v>423</v>
      </c>
      <c r="C34" s="2118">
        <f>C31-C62</f>
        <v>-917</v>
      </c>
      <c r="D34" s="2119">
        <f t="shared" ref="D34:E34" si="25">D31-D62</f>
        <v>-4850</v>
      </c>
      <c r="E34" s="2119">
        <f t="shared" si="25"/>
        <v>-4850</v>
      </c>
      <c r="F34" s="2120"/>
      <c r="G34" s="2121">
        <f>G31-G62</f>
        <v>0</v>
      </c>
      <c r="H34" s="2119">
        <f t="shared" ref="H34:I34" si="26">H31-H62</f>
        <v>0</v>
      </c>
      <c r="I34" s="2119">
        <f t="shared" si="26"/>
        <v>0</v>
      </c>
      <c r="J34" s="2122"/>
      <c r="K34" s="2118">
        <f>K31-K62</f>
        <v>-182</v>
      </c>
      <c r="L34" s="2119">
        <f t="shared" ref="L34:M34" si="27">L31-L62</f>
        <v>-248</v>
      </c>
      <c r="M34" s="2119">
        <f t="shared" si="27"/>
        <v>-248</v>
      </c>
      <c r="N34" s="2120"/>
      <c r="O34" s="2118">
        <f>O31-O62</f>
        <v>-1099</v>
      </c>
      <c r="P34" s="2119">
        <f t="shared" ref="P34:Q34" si="28">P31-P62</f>
        <v>-5098</v>
      </c>
      <c r="Q34" s="2119">
        <f t="shared" si="28"/>
        <v>-5098</v>
      </c>
      <c r="R34" s="2120"/>
    </row>
    <row r="35" spans="1:18" ht="52.5" x14ac:dyDescent="0.45">
      <c r="A35" s="107" t="s">
        <v>427</v>
      </c>
      <c r="B35" s="1733" t="s">
        <v>426</v>
      </c>
      <c r="C35" s="2087"/>
      <c r="D35" s="2088"/>
      <c r="E35" s="2088"/>
      <c r="F35" s="2089"/>
      <c r="G35" s="2090"/>
      <c r="H35" s="2088"/>
      <c r="I35" s="2088"/>
      <c r="J35" s="2091"/>
      <c r="K35" s="2087"/>
      <c r="L35" s="2088"/>
      <c r="M35" s="2088"/>
      <c r="N35" s="2089"/>
      <c r="O35" s="2087">
        <f t="shared" ref="O35:O38" si="29">C35+G35+K35</f>
        <v>0</v>
      </c>
      <c r="P35" s="2088">
        <f t="shared" ref="P35:P39" si="30">D35+H35+L35</f>
        <v>0</v>
      </c>
      <c r="Q35" s="2088">
        <f t="shared" ref="Q35:Q39" si="31">E35+I35+M35</f>
        <v>0</v>
      </c>
      <c r="R35" s="2089"/>
    </row>
    <row r="36" spans="1:18" ht="52.5" x14ac:dyDescent="0.45">
      <c r="A36" s="107" t="s">
        <v>429</v>
      </c>
      <c r="B36" s="1730" t="s">
        <v>428</v>
      </c>
      <c r="C36" s="2087"/>
      <c r="D36" s="2088">
        <f>'3. Gesz költségvetés'!O30</f>
        <v>1419</v>
      </c>
      <c r="E36" s="2088">
        <f>'3. Gesz költségvetés'!P30</f>
        <v>1419</v>
      </c>
      <c r="F36" s="2103">
        <f>E36/D36%</f>
        <v>100</v>
      </c>
      <c r="G36" s="2090"/>
      <c r="H36" s="2088"/>
      <c r="I36" s="2088"/>
      <c r="J36" s="2091"/>
      <c r="K36" s="2087"/>
      <c r="L36" s="2088"/>
      <c r="M36" s="2088"/>
      <c r="N36" s="2089"/>
      <c r="O36" s="2087">
        <f t="shared" si="29"/>
        <v>0</v>
      </c>
      <c r="P36" s="2088">
        <f t="shared" si="30"/>
        <v>1419</v>
      </c>
      <c r="Q36" s="2088">
        <f t="shared" si="31"/>
        <v>1419</v>
      </c>
      <c r="R36" s="2103">
        <f>Q36/P36%</f>
        <v>100</v>
      </c>
    </row>
    <row r="37" spans="1:18" ht="52.5" x14ac:dyDescent="0.45">
      <c r="A37" s="107" t="s">
        <v>429</v>
      </c>
      <c r="B37" s="1730" t="s">
        <v>430</v>
      </c>
      <c r="C37" s="2087"/>
      <c r="D37" s="2088"/>
      <c r="E37" s="2088"/>
      <c r="F37" s="2103"/>
      <c r="G37" s="2090"/>
      <c r="H37" s="2088"/>
      <c r="I37" s="2088"/>
      <c r="J37" s="2091"/>
      <c r="K37" s="2087"/>
      <c r="L37" s="2088"/>
      <c r="M37" s="2088"/>
      <c r="N37" s="2089"/>
      <c r="O37" s="2087">
        <f t="shared" si="29"/>
        <v>0</v>
      </c>
      <c r="P37" s="2088">
        <f t="shared" si="30"/>
        <v>0</v>
      </c>
      <c r="Q37" s="2088">
        <f t="shared" si="31"/>
        <v>0</v>
      </c>
      <c r="R37" s="2103"/>
    </row>
    <row r="38" spans="1:18" s="53" customFormat="1" ht="30.75" x14ac:dyDescent="0.45">
      <c r="A38" s="107" t="s">
        <v>432</v>
      </c>
      <c r="B38" s="1730" t="s">
        <v>431</v>
      </c>
      <c r="C38" s="2087"/>
      <c r="D38" s="2093">
        <f>SUM(D36:D37)</f>
        <v>1419</v>
      </c>
      <c r="E38" s="2093">
        <f>SUM(E36:E37)</f>
        <v>1419</v>
      </c>
      <c r="F38" s="2103">
        <f>E38/D38%</f>
        <v>100</v>
      </c>
      <c r="G38" s="2090"/>
      <c r="H38" s="2088"/>
      <c r="I38" s="2088"/>
      <c r="J38" s="2091"/>
      <c r="K38" s="2087"/>
      <c r="L38" s="2088"/>
      <c r="M38" s="2088"/>
      <c r="N38" s="2089"/>
      <c r="O38" s="2087">
        <f t="shared" si="29"/>
        <v>0</v>
      </c>
      <c r="P38" s="2088">
        <f t="shared" si="30"/>
        <v>1419</v>
      </c>
      <c r="Q38" s="2088">
        <f t="shared" si="31"/>
        <v>1419</v>
      </c>
      <c r="R38" s="2103">
        <f>Q38/P38%</f>
        <v>100</v>
      </c>
    </row>
    <row r="39" spans="1:18" ht="30.75" x14ac:dyDescent="0.45">
      <c r="A39" s="113" t="s">
        <v>434</v>
      </c>
      <c r="B39" s="1730" t="s">
        <v>433</v>
      </c>
      <c r="C39" s="2087">
        <v>69087</v>
      </c>
      <c r="D39" s="2088">
        <f>'3. Gesz költségvetés'!O33</f>
        <v>75521</v>
      </c>
      <c r="E39" s="2088">
        <f>'3. Gesz költségvetés'!P33</f>
        <v>68916</v>
      </c>
      <c r="F39" s="2089">
        <f>E39/D39%</f>
        <v>91.254088266839688</v>
      </c>
      <c r="G39" s="2090"/>
      <c r="H39" s="2088"/>
      <c r="I39" s="2088"/>
      <c r="J39" s="2091"/>
      <c r="K39" s="2087"/>
      <c r="L39" s="2088"/>
      <c r="M39" s="2088"/>
      <c r="N39" s="2089"/>
      <c r="O39" s="2087">
        <f>C39+G39+K39</f>
        <v>69087</v>
      </c>
      <c r="P39" s="2088">
        <f t="shared" si="30"/>
        <v>75521</v>
      </c>
      <c r="Q39" s="2088">
        <f t="shared" si="31"/>
        <v>68916</v>
      </c>
      <c r="R39" s="2103">
        <f>Q39/P39%</f>
        <v>91.254088266839688</v>
      </c>
    </row>
    <row r="40" spans="1:18" ht="30" x14ac:dyDescent="0.4">
      <c r="A40" s="116" t="s">
        <v>442</v>
      </c>
      <c r="B40" s="1738" t="s">
        <v>441</v>
      </c>
      <c r="C40" s="2113">
        <f>SUM(C35:C39)</f>
        <v>69087</v>
      </c>
      <c r="D40" s="2114">
        <f>SUM(D38:D39)</f>
        <v>76940</v>
      </c>
      <c r="E40" s="2114">
        <f>SUM(E38:E39)</f>
        <v>70335</v>
      </c>
      <c r="F40" s="2115">
        <f>E40/D40%</f>
        <v>91.415388614504806</v>
      </c>
      <c r="G40" s="2116">
        <f>SUM(G35:G39)</f>
        <v>0</v>
      </c>
      <c r="H40" s="2114">
        <f t="shared" ref="H40:I40" si="32">SUM(H35:H39)</f>
        <v>0</v>
      </c>
      <c r="I40" s="2114">
        <f t="shared" si="32"/>
        <v>0</v>
      </c>
      <c r="J40" s="2117"/>
      <c r="K40" s="2113">
        <f>SUM(K35:K39)</f>
        <v>0</v>
      </c>
      <c r="L40" s="2114">
        <f t="shared" ref="L40:M40" si="33">SUM(L35:L39)</f>
        <v>0</v>
      </c>
      <c r="M40" s="2114">
        <f t="shared" si="33"/>
        <v>0</v>
      </c>
      <c r="N40" s="2123"/>
      <c r="O40" s="2113">
        <f t="shared" ref="O40" si="34">C40+G40</f>
        <v>69087</v>
      </c>
      <c r="P40" s="2114">
        <f>D40+H40</f>
        <v>76940</v>
      </c>
      <c r="Q40" s="2114">
        <f t="shared" ref="Q40" si="35">E40+I40</f>
        <v>70335</v>
      </c>
      <c r="R40" s="2115">
        <f>Q40/P40%</f>
        <v>91.415388614504806</v>
      </c>
    </row>
    <row r="41" spans="1:18" ht="30.75" thickBot="1" x14ac:dyDescent="0.45">
      <c r="A41" s="118"/>
      <c r="B41" s="1739" t="s">
        <v>356</v>
      </c>
      <c r="C41" s="2124">
        <f>C32+C39</f>
        <v>83687</v>
      </c>
      <c r="D41" s="2125">
        <f>D32+D40</f>
        <v>93487</v>
      </c>
      <c r="E41" s="2125">
        <f>E32+E40</f>
        <v>86851</v>
      </c>
      <c r="F41" s="2126">
        <f>E41/D41%</f>
        <v>92.901686865553501</v>
      </c>
      <c r="G41" s="2127">
        <f t="shared" ref="G41:K41" si="36">G32+G39</f>
        <v>4500</v>
      </c>
      <c r="H41" s="2125">
        <f t="shared" ref="H41:I41" si="37">H32+H39</f>
        <v>4500</v>
      </c>
      <c r="I41" s="2125">
        <f t="shared" si="37"/>
        <v>6937</v>
      </c>
      <c r="J41" s="2128">
        <f>I41/H41%</f>
        <v>154.15555555555557</v>
      </c>
      <c r="K41" s="2124">
        <f t="shared" si="36"/>
        <v>5374</v>
      </c>
      <c r="L41" s="2125">
        <f t="shared" ref="L41:M41" si="38">L32+L39</f>
        <v>6452</v>
      </c>
      <c r="M41" s="2125">
        <f t="shared" si="38"/>
        <v>6499</v>
      </c>
      <c r="N41" s="2126">
        <f>M41/L41%</f>
        <v>100.72845629262245</v>
      </c>
      <c r="O41" s="2124">
        <f>C41+G41+K41</f>
        <v>93561</v>
      </c>
      <c r="P41" s="2125">
        <f>D41+H41+L41</f>
        <v>104439</v>
      </c>
      <c r="Q41" s="2125">
        <f t="shared" ref="Q41" si="39">E41+I41+M41</f>
        <v>100287</v>
      </c>
      <c r="R41" s="2126">
        <f>Q41/P41%</f>
        <v>96.024473616177858</v>
      </c>
    </row>
    <row r="42" spans="1:18" ht="17.25" thickBot="1" x14ac:dyDescent="0.3">
      <c r="A42" s="1143"/>
      <c r="B42" s="1143"/>
      <c r="C42" s="1145"/>
      <c r="D42" s="1145"/>
      <c r="E42" s="1145"/>
      <c r="F42" s="1145"/>
      <c r="G42" s="1145"/>
      <c r="H42" s="1145"/>
      <c r="I42" s="1145"/>
      <c r="J42" s="1145"/>
      <c r="K42" s="1145"/>
      <c r="L42" s="1145"/>
      <c r="M42" s="1145"/>
      <c r="N42" s="1145"/>
      <c r="O42" s="1145"/>
      <c r="P42" s="1144"/>
      <c r="Q42" s="1144"/>
      <c r="R42" s="1144"/>
    </row>
    <row r="43" spans="1:18" s="1493" customFormat="1" ht="28.5" x14ac:dyDescent="0.45">
      <c r="A43" s="2419" t="s">
        <v>364</v>
      </c>
      <c r="B43" s="2457" t="s">
        <v>804</v>
      </c>
      <c r="C43" s="2451" t="s">
        <v>152</v>
      </c>
      <c r="D43" s="2452"/>
      <c r="E43" s="2452"/>
      <c r="F43" s="2453"/>
      <c r="G43" s="2456" t="s">
        <v>1107</v>
      </c>
      <c r="H43" s="2452"/>
      <c r="I43" s="2452"/>
      <c r="J43" s="2459"/>
      <c r="K43" s="2451" t="s">
        <v>775</v>
      </c>
      <c r="L43" s="2452"/>
      <c r="M43" s="2452"/>
      <c r="N43" s="2453"/>
      <c r="O43" s="2456" t="s">
        <v>444</v>
      </c>
      <c r="P43" s="2452"/>
      <c r="Q43" s="2452"/>
      <c r="R43" s="2453"/>
    </row>
    <row r="44" spans="1:18" s="1341" customFormat="1" ht="135" x14ac:dyDescent="0.35">
      <c r="A44" s="2431"/>
      <c r="B44" s="2458" t="s">
        <v>799</v>
      </c>
      <c r="C44" s="1807" t="s">
        <v>1004</v>
      </c>
      <c r="D44" s="1808" t="s">
        <v>1066</v>
      </c>
      <c r="E44" s="1808" t="s">
        <v>1103</v>
      </c>
      <c r="F44" s="1809" t="s">
        <v>1084</v>
      </c>
      <c r="G44" s="1810" t="s">
        <v>1005</v>
      </c>
      <c r="H44" s="1808" t="s">
        <v>1067</v>
      </c>
      <c r="I44" s="1808" t="s">
        <v>1106</v>
      </c>
      <c r="J44" s="1811" t="s">
        <v>1084</v>
      </c>
      <c r="K44" s="1807" t="s">
        <v>1006</v>
      </c>
      <c r="L44" s="1808" t="s">
        <v>1068</v>
      </c>
      <c r="M44" s="1808" t="s">
        <v>1109</v>
      </c>
      <c r="N44" s="1809" t="s">
        <v>1084</v>
      </c>
      <c r="O44" s="1810" t="s">
        <v>1007</v>
      </c>
      <c r="P44" s="1808" t="s">
        <v>1069</v>
      </c>
      <c r="Q44" s="1808" t="s">
        <v>1108</v>
      </c>
      <c r="R44" s="1809" t="s">
        <v>1084</v>
      </c>
    </row>
    <row r="45" spans="1:18" ht="30.75" x14ac:dyDescent="0.45">
      <c r="A45" s="102" t="s">
        <v>288</v>
      </c>
      <c r="B45" s="1740" t="s">
        <v>289</v>
      </c>
      <c r="C45" s="2087">
        <v>34850</v>
      </c>
      <c r="D45" s="2088">
        <f>'3. Gesz költségvetés'!O39-H45-L45</f>
        <v>38926</v>
      </c>
      <c r="E45" s="2088">
        <f>'3. Gesz költségvetés'!P39-I45-M45</f>
        <v>38141</v>
      </c>
      <c r="F45" s="2103">
        <f>E45/D45%</f>
        <v>97.983353028823927</v>
      </c>
      <c r="G45" s="2090"/>
      <c r="H45" s="2100"/>
      <c r="I45" s="2100"/>
      <c r="J45" s="2129"/>
      <c r="K45" s="2130">
        <v>1200</v>
      </c>
      <c r="L45" s="2100">
        <v>1693</v>
      </c>
      <c r="M45" s="2100">
        <v>1693</v>
      </c>
      <c r="N45" s="2103">
        <f>M45/L45%</f>
        <v>100</v>
      </c>
      <c r="O45" s="2090">
        <f>C45+G45+K45</f>
        <v>36050</v>
      </c>
      <c r="P45" s="2088">
        <f t="shared" ref="P45:Q45" si="40">D45+H45+L45</f>
        <v>40619</v>
      </c>
      <c r="Q45" s="2088">
        <f t="shared" si="40"/>
        <v>39834</v>
      </c>
      <c r="R45" s="2103">
        <f>Q45/P45%</f>
        <v>98.067406878554365</v>
      </c>
    </row>
    <row r="46" spans="1:18" ht="52.5" x14ac:dyDescent="0.45">
      <c r="A46" s="102" t="s">
        <v>290</v>
      </c>
      <c r="B46" s="1730" t="s">
        <v>291</v>
      </c>
      <c r="C46" s="2087">
        <v>8624</v>
      </c>
      <c r="D46" s="2088">
        <f>'3. Gesz költségvetés'!O40-H46-L46</f>
        <v>9614</v>
      </c>
      <c r="E46" s="2088">
        <f>'3. Gesz költségvetés'!P40-I46-M46</f>
        <v>8814</v>
      </c>
      <c r="F46" s="2103">
        <f t="shared" ref="F46:F49" si="41">E46/D46%</f>
        <v>91.678801747451629</v>
      </c>
      <c r="G46" s="2090"/>
      <c r="H46" s="2100"/>
      <c r="I46" s="2100"/>
      <c r="J46" s="2129"/>
      <c r="K46" s="2130">
        <v>600</v>
      </c>
      <c r="L46" s="2100">
        <v>607</v>
      </c>
      <c r="M46" s="2100">
        <v>607</v>
      </c>
      <c r="N46" s="2103">
        <f>M46/L46%</f>
        <v>100</v>
      </c>
      <c r="O46" s="2090">
        <f t="shared" ref="O46:O67" si="42">C46+G46+K46</f>
        <v>9224</v>
      </c>
      <c r="P46" s="2088">
        <f t="shared" ref="P46:P67" si="43">D46+H46+L46</f>
        <v>10221</v>
      </c>
      <c r="Q46" s="2088">
        <f t="shared" ref="Q46:Q67" si="44">E46+I46+M46</f>
        <v>9421</v>
      </c>
      <c r="R46" s="2103">
        <f t="shared" ref="R46:R49" si="45">Q46/P46%</f>
        <v>92.172977203796108</v>
      </c>
    </row>
    <row r="47" spans="1:18" ht="30.75" x14ac:dyDescent="0.45">
      <c r="A47" s="102" t="s">
        <v>292</v>
      </c>
      <c r="B47" s="1730" t="s">
        <v>293</v>
      </c>
      <c r="C47" s="2087">
        <v>39296</v>
      </c>
      <c r="D47" s="2088">
        <f>'3. Gesz költségvetés'!O41-H47-L47</f>
        <v>38882</v>
      </c>
      <c r="E47" s="2088">
        <f>'3. Gesz költségvetés'!P41-I47-M47</f>
        <v>33736</v>
      </c>
      <c r="F47" s="2103">
        <f t="shared" si="41"/>
        <v>86.765084100612114</v>
      </c>
      <c r="G47" s="2090">
        <v>4500</v>
      </c>
      <c r="H47" s="2100">
        <v>4500</v>
      </c>
      <c r="I47" s="2100">
        <v>6937</v>
      </c>
      <c r="J47" s="2104">
        <f t="shared" ref="J47" si="46">I47/H47%</f>
        <v>154.15555555555557</v>
      </c>
      <c r="K47" s="2130">
        <v>3392</v>
      </c>
      <c r="L47" s="2100">
        <v>3904</v>
      </c>
      <c r="M47" s="2100">
        <v>3904</v>
      </c>
      <c r="N47" s="2103">
        <f>M47/L47%</f>
        <v>100</v>
      </c>
      <c r="O47" s="2090">
        <f t="shared" si="42"/>
        <v>47188</v>
      </c>
      <c r="P47" s="2088">
        <f t="shared" si="43"/>
        <v>47286</v>
      </c>
      <c r="Q47" s="2088">
        <f t="shared" si="44"/>
        <v>44577</v>
      </c>
      <c r="R47" s="2103">
        <f t="shared" si="45"/>
        <v>94.271031594975256</v>
      </c>
    </row>
    <row r="48" spans="1:18" ht="30.75" x14ac:dyDescent="0.45">
      <c r="A48" s="102" t="s">
        <v>294</v>
      </c>
      <c r="B48" s="1733" t="s">
        <v>39</v>
      </c>
      <c r="C48" s="2087"/>
      <c r="D48" s="2088"/>
      <c r="E48" s="2088"/>
      <c r="F48" s="2103"/>
      <c r="G48" s="2090"/>
      <c r="H48" s="2100"/>
      <c r="I48" s="2100"/>
      <c r="J48" s="2129"/>
      <c r="K48" s="2130"/>
      <c r="L48" s="2100"/>
      <c r="M48" s="2100"/>
      <c r="N48" s="2101"/>
      <c r="O48" s="2090">
        <f t="shared" si="42"/>
        <v>0</v>
      </c>
      <c r="P48" s="2088">
        <f t="shared" si="43"/>
        <v>0</v>
      </c>
      <c r="Q48" s="2088">
        <f t="shared" si="44"/>
        <v>0</v>
      </c>
      <c r="R48" s="2103"/>
    </row>
    <row r="49" spans="1:18" ht="30.75" x14ac:dyDescent="0.45">
      <c r="A49" s="102" t="s">
        <v>120</v>
      </c>
      <c r="B49" s="1733" t="s">
        <v>121</v>
      </c>
      <c r="C49" s="2087"/>
      <c r="D49" s="2088">
        <f>'3. Gesz költségvetés'!O46</f>
        <v>1215</v>
      </c>
      <c r="E49" s="2088">
        <f>'3. Gesz költségvetés'!P46</f>
        <v>1215</v>
      </c>
      <c r="F49" s="2103">
        <f t="shared" si="41"/>
        <v>100</v>
      </c>
      <c r="G49" s="2090"/>
      <c r="H49" s="2100"/>
      <c r="I49" s="2100"/>
      <c r="J49" s="2129"/>
      <c r="K49" s="2130"/>
      <c r="L49" s="2100"/>
      <c r="M49" s="2100"/>
      <c r="N49" s="2101"/>
      <c r="O49" s="2090">
        <f t="shared" si="42"/>
        <v>0</v>
      </c>
      <c r="P49" s="2088">
        <f t="shared" si="43"/>
        <v>1215</v>
      </c>
      <c r="Q49" s="2088">
        <f t="shared" si="44"/>
        <v>1215</v>
      </c>
      <c r="R49" s="2103">
        <f t="shared" si="45"/>
        <v>100</v>
      </c>
    </row>
    <row r="50" spans="1:18" ht="52.5" x14ac:dyDescent="0.45">
      <c r="A50" s="102" t="s">
        <v>295</v>
      </c>
      <c r="B50" s="1741" t="s">
        <v>296</v>
      </c>
      <c r="C50" s="2087"/>
      <c r="D50" s="2088"/>
      <c r="E50" s="2088"/>
      <c r="F50" s="2089"/>
      <c r="G50" s="2090"/>
      <c r="H50" s="2100"/>
      <c r="I50" s="2100"/>
      <c r="J50" s="2129"/>
      <c r="K50" s="2130"/>
      <c r="L50" s="2100"/>
      <c r="M50" s="2100"/>
      <c r="N50" s="2101"/>
      <c r="O50" s="2090">
        <f t="shared" si="42"/>
        <v>0</v>
      </c>
      <c r="P50" s="2088">
        <f t="shared" si="43"/>
        <v>0</v>
      </c>
      <c r="Q50" s="2088">
        <f t="shared" si="44"/>
        <v>0</v>
      </c>
      <c r="R50" s="2089"/>
    </row>
    <row r="51" spans="1:18" ht="52.5" x14ac:dyDescent="0.45">
      <c r="A51" s="102" t="s">
        <v>298</v>
      </c>
      <c r="B51" s="1741" t="s">
        <v>297</v>
      </c>
      <c r="C51" s="2087"/>
      <c r="D51" s="2088"/>
      <c r="E51" s="2088"/>
      <c r="F51" s="2089"/>
      <c r="G51" s="2090"/>
      <c r="H51" s="2088"/>
      <c r="I51" s="2088"/>
      <c r="J51" s="2091"/>
      <c r="K51" s="2087"/>
      <c r="L51" s="2088"/>
      <c r="M51" s="2088"/>
      <c r="N51" s="2089"/>
      <c r="O51" s="2090">
        <f t="shared" si="42"/>
        <v>0</v>
      </c>
      <c r="P51" s="2088">
        <f t="shared" si="43"/>
        <v>0</v>
      </c>
      <c r="Q51" s="2088">
        <f t="shared" si="44"/>
        <v>0</v>
      </c>
      <c r="R51" s="2089"/>
    </row>
    <row r="52" spans="1:18" ht="30.75" x14ac:dyDescent="0.45">
      <c r="A52" s="102" t="s">
        <v>785</v>
      </c>
      <c r="B52" s="1742" t="s">
        <v>299</v>
      </c>
      <c r="C52" s="2087"/>
      <c r="D52" s="2088"/>
      <c r="E52" s="2088"/>
      <c r="F52" s="2089"/>
      <c r="G52" s="2090"/>
      <c r="H52" s="2088"/>
      <c r="I52" s="2088"/>
      <c r="J52" s="2091"/>
      <c r="K52" s="2087"/>
      <c r="L52" s="2088"/>
      <c r="M52" s="2088"/>
      <c r="N52" s="2089"/>
      <c r="O52" s="2090">
        <f t="shared" si="42"/>
        <v>0</v>
      </c>
      <c r="P52" s="2088">
        <f t="shared" si="43"/>
        <v>0</v>
      </c>
      <c r="Q52" s="2088">
        <f t="shared" si="44"/>
        <v>0</v>
      </c>
      <c r="R52" s="2089"/>
    </row>
    <row r="53" spans="1:18" ht="30.75" x14ac:dyDescent="0.45">
      <c r="A53" s="102" t="s">
        <v>785</v>
      </c>
      <c r="B53" s="1742" t="s">
        <v>155</v>
      </c>
      <c r="C53" s="2087"/>
      <c r="D53" s="2088"/>
      <c r="E53" s="2088"/>
      <c r="F53" s="2089"/>
      <c r="G53" s="2090"/>
      <c r="H53" s="2088"/>
      <c r="I53" s="2088"/>
      <c r="J53" s="2091"/>
      <c r="K53" s="2087"/>
      <c r="L53" s="2088"/>
      <c r="M53" s="2088"/>
      <c r="N53" s="2089"/>
      <c r="O53" s="2090">
        <f t="shared" si="42"/>
        <v>0</v>
      </c>
      <c r="P53" s="2088">
        <f t="shared" si="43"/>
        <v>0</v>
      </c>
      <c r="Q53" s="2088">
        <f t="shared" si="44"/>
        <v>0</v>
      </c>
      <c r="R53" s="2089"/>
    </row>
    <row r="54" spans="1:18" ht="30.75" x14ac:dyDescent="0.45">
      <c r="A54" s="102" t="s">
        <v>785</v>
      </c>
      <c r="B54" s="1742" t="s">
        <v>300</v>
      </c>
      <c r="C54" s="2087"/>
      <c r="D54" s="2088"/>
      <c r="E54" s="2088"/>
      <c r="F54" s="2089"/>
      <c r="G54" s="2090"/>
      <c r="H54" s="2088"/>
      <c r="I54" s="2088"/>
      <c r="J54" s="2091"/>
      <c r="K54" s="2087"/>
      <c r="L54" s="2088"/>
      <c r="M54" s="2088"/>
      <c r="N54" s="2089"/>
      <c r="O54" s="2090">
        <f t="shared" si="42"/>
        <v>0</v>
      </c>
      <c r="P54" s="2088">
        <f t="shared" si="43"/>
        <v>0</v>
      </c>
      <c r="Q54" s="2088">
        <f t="shared" si="44"/>
        <v>0</v>
      </c>
      <c r="R54" s="2089"/>
    </row>
    <row r="55" spans="1:18" s="53" customFormat="1" ht="30" x14ac:dyDescent="0.4">
      <c r="A55" s="1260" t="s">
        <v>301</v>
      </c>
      <c r="B55" s="1734" t="s">
        <v>302</v>
      </c>
      <c r="C55" s="2092"/>
      <c r="D55" s="2093">
        <f>SUM(D49:D54)</f>
        <v>1215</v>
      </c>
      <c r="E55" s="2093">
        <f>SUM(E49:E54)</f>
        <v>1215</v>
      </c>
      <c r="F55" s="2131">
        <f t="shared" ref="F55:F56" si="47">E55/D55%</f>
        <v>100</v>
      </c>
      <c r="G55" s="2095"/>
      <c r="H55" s="2093"/>
      <c r="I55" s="2093"/>
      <c r="J55" s="2096"/>
      <c r="K55" s="2092"/>
      <c r="L55" s="2093"/>
      <c r="M55" s="2093"/>
      <c r="N55" s="2094"/>
      <c r="O55" s="2095">
        <f t="shared" si="42"/>
        <v>0</v>
      </c>
      <c r="P55" s="2093">
        <f t="shared" si="43"/>
        <v>1215</v>
      </c>
      <c r="Q55" s="2093">
        <f t="shared" si="44"/>
        <v>1215</v>
      </c>
      <c r="R55" s="2131">
        <f t="shared" ref="R55" si="48">Q55/P55%</f>
        <v>100</v>
      </c>
    </row>
    <row r="56" spans="1:18" ht="30.75" x14ac:dyDescent="0.45">
      <c r="A56" s="102" t="s">
        <v>303</v>
      </c>
      <c r="B56" s="1743" t="s">
        <v>446</v>
      </c>
      <c r="C56" s="2087">
        <v>917</v>
      </c>
      <c r="D56" s="2100">
        <f>'3. Gesz költségvetés'!O48-L56</f>
        <v>4850</v>
      </c>
      <c r="E56" s="2100">
        <f>'3. Gesz költségvetés'!P48-M56</f>
        <v>4850</v>
      </c>
      <c r="F56" s="2103">
        <f t="shared" si="47"/>
        <v>100</v>
      </c>
      <c r="G56" s="2090"/>
      <c r="H56" s="2088"/>
      <c r="I56" s="2088"/>
      <c r="J56" s="2091"/>
      <c r="K56" s="2087">
        <v>182</v>
      </c>
      <c r="L56" s="2100">
        <v>248</v>
      </c>
      <c r="M56" s="2100">
        <v>248</v>
      </c>
      <c r="N56" s="2103">
        <f>M56/L56%</f>
        <v>100</v>
      </c>
      <c r="O56" s="2090">
        <f t="shared" si="42"/>
        <v>1099</v>
      </c>
      <c r="P56" s="2088">
        <f t="shared" si="43"/>
        <v>5098</v>
      </c>
      <c r="Q56" s="2088">
        <f t="shared" si="44"/>
        <v>5098</v>
      </c>
      <c r="R56" s="2103">
        <f>Q56/P56%</f>
        <v>100</v>
      </c>
    </row>
    <row r="57" spans="1:18" ht="30.75" x14ac:dyDescent="0.45">
      <c r="A57" s="102" t="s">
        <v>304</v>
      </c>
      <c r="B57" s="1733" t="s">
        <v>305</v>
      </c>
      <c r="C57" s="2087"/>
      <c r="D57" s="2088"/>
      <c r="E57" s="2088"/>
      <c r="F57" s="2089"/>
      <c r="G57" s="2090"/>
      <c r="H57" s="2088"/>
      <c r="I57" s="2088"/>
      <c r="J57" s="2091"/>
      <c r="K57" s="2087"/>
      <c r="L57" s="2088"/>
      <c r="M57" s="2088"/>
      <c r="N57" s="2089"/>
      <c r="O57" s="2090">
        <f t="shared" si="42"/>
        <v>0</v>
      </c>
      <c r="P57" s="2088">
        <f t="shared" si="43"/>
        <v>0</v>
      </c>
      <c r="Q57" s="2088">
        <f t="shared" si="44"/>
        <v>0</v>
      </c>
      <c r="R57" s="2089"/>
    </row>
    <row r="58" spans="1:18" ht="52.5" x14ac:dyDescent="0.45">
      <c r="A58" s="102" t="s">
        <v>251</v>
      </c>
      <c r="B58" s="1733" t="s">
        <v>154</v>
      </c>
      <c r="C58" s="2087"/>
      <c r="D58" s="2088"/>
      <c r="E58" s="2088"/>
      <c r="F58" s="2089"/>
      <c r="G58" s="2090"/>
      <c r="H58" s="2088"/>
      <c r="I58" s="2088"/>
      <c r="J58" s="2091"/>
      <c r="K58" s="2087"/>
      <c r="L58" s="2088"/>
      <c r="M58" s="2088"/>
      <c r="N58" s="2089"/>
      <c r="O58" s="2090">
        <f t="shared" si="42"/>
        <v>0</v>
      </c>
      <c r="P58" s="2088">
        <f t="shared" si="43"/>
        <v>0</v>
      </c>
      <c r="Q58" s="2088">
        <f t="shared" si="44"/>
        <v>0</v>
      </c>
      <c r="R58" s="2089"/>
    </row>
    <row r="59" spans="1:18" ht="52.5" x14ac:dyDescent="0.45">
      <c r="A59" s="102" t="s">
        <v>306</v>
      </c>
      <c r="B59" s="1733" t="s">
        <v>307</v>
      </c>
      <c r="C59" s="2087"/>
      <c r="D59" s="2088"/>
      <c r="E59" s="2088"/>
      <c r="F59" s="2089"/>
      <c r="G59" s="2090"/>
      <c r="H59" s="2088"/>
      <c r="I59" s="2088"/>
      <c r="J59" s="2091"/>
      <c r="K59" s="2087"/>
      <c r="L59" s="2088"/>
      <c r="M59" s="2088"/>
      <c r="N59" s="2089"/>
      <c r="O59" s="2090">
        <f t="shared" si="42"/>
        <v>0</v>
      </c>
      <c r="P59" s="2088">
        <f t="shared" si="43"/>
        <v>0</v>
      </c>
      <c r="Q59" s="2088">
        <f t="shared" si="44"/>
        <v>0</v>
      </c>
      <c r="R59" s="2089"/>
    </row>
    <row r="60" spans="1:18" ht="30.75" x14ac:dyDescent="0.45">
      <c r="A60" s="102" t="s">
        <v>308</v>
      </c>
      <c r="B60" s="1733" t="s">
        <v>309</v>
      </c>
      <c r="C60" s="2087"/>
      <c r="D60" s="2088"/>
      <c r="E60" s="2088"/>
      <c r="F60" s="2089"/>
      <c r="G60" s="2090"/>
      <c r="H60" s="2088"/>
      <c r="I60" s="2088"/>
      <c r="J60" s="2091"/>
      <c r="K60" s="2087"/>
      <c r="L60" s="2088"/>
      <c r="M60" s="2088"/>
      <c r="N60" s="2089"/>
      <c r="O60" s="2090">
        <f t="shared" si="42"/>
        <v>0</v>
      </c>
      <c r="P60" s="2088">
        <f t="shared" si="43"/>
        <v>0</v>
      </c>
      <c r="Q60" s="2088">
        <f t="shared" si="44"/>
        <v>0</v>
      </c>
      <c r="R60" s="2089"/>
    </row>
    <row r="61" spans="1:18" ht="30.75" x14ac:dyDescent="0.45">
      <c r="A61" s="117"/>
      <c r="B61" s="1744" t="s">
        <v>324</v>
      </c>
      <c r="C61" s="2132">
        <f>SUM(C45:C55)</f>
        <v>82770</v>
      </c>
      <c r="D61" s="2133">
        <f>SUM(D45:D54)</f>
        <v>88637</v>
      </c>
      <c r="E61" s="2133">
        <f>SUM(E45:E54)</f>
        <v>81906</v>
      </c>
      <c r="F61" s="2134">
        <f>E61/D61%</f>
        <v>92.406105802317313</v>
      </c>
      <c r="G61" s="2135">
        <f>SUM(G45:G55)</f>
        <v>4500</v>
      </c>
      <c r="H61" s="2133">
        <f t="shared" ref="H61:I61" si="49">SUM(H45:H55)</f>
        <v>4500</v>
      </c>
      <c r="I61" s="2133">
        <f t="shared" si="49"/>
        <v>6937</v>
      </c>
      <c r="J61" s="2134">
        <f>I61/H61%</f>
        <v>154.15555555555557</v>
      </c>
      <c r="K61" s="2132">
        <f>SUM(K45:K55)</f>
        <v>5192</v>
      </c>
      <c r="L61" s="2133">
        <f t="shared" ref="L61:M61" si="50">SUM(L45:L55)</f>
        <v>6204</v>
      </c>
      <c r="M61" s="2133">
        <f t="shared" si="50"/>
        <v>6204</v>
      </c>
      <c r="N61" s="2136"/>
      <c r="O61" s="2135">
        <f t="shared" si="42"/>
        <v>92462</v>
      </c>
      <c r="P61" s="2133">
        <f>D61+H61+L61</f>
        <v>99341</v>
      </c>
      <c r="Q61" s="2133">
        <f t="shared" si="44"/>
        <v>95047</v>
      </c>
      <c r="R61" s="2134">
        <f>Q61/P61%</f>
        <v>95.677514822681474</v>
      </c>
    </row>
    <row r="62" spans="1:18" ht="30.75" x14ac:dyDescent="0.45">
      <c r="A62" s="117"/>
      <c r="B62" s="1744" t="s">
        <v>325</v>
      </c>
      <c r="C62" s="2132">
        <f>SUM(C56:C60)</f>
        <v>917</v>
      </c>
      <c r="D62" s="2133">
        <f t="shared" ref="D62:E62" si="51">SUM(D56:D60)</f>
        <v>4850</v>
      </c>
      <c r="E62" s="2133">
        <f t="shared" si="51"/>
        <v>4850</v>
      </c>
      <c r="F62" s="2134">
        <f>E62/D62%</f>
        <v>100</v>
      </c>
      <c r="G62" s="2135">
        <f>SUM(G56:G60)</f>
        <v>0</v>
      </c>
      <c r="H62" s="2133">
        <f t="shared" ref="H62:I62" si="52">SUM(H56:H60)</f>
        <v>0</v>
      </c>
      <c r="I62" s="2133">
        <f t="shared" si="52"/>
        <v>0</v>
      </c>
      <c r="J62" s="2134"/>
      <c r="K62" s="2132">
        <f>SUM(K56:K60)</f>
        <v>182</v>
      </c>
      <c r="L62" s="2133">
        <f t="shared" ref="L62:M62" si="53">SUM(L56:L60)</f>
        <v>248</v>
      </c>
      <c r="M62" s="2133">
        <f t="shared" si="53"/>
        <v>248</v>
      </c>
      <c r="N62" s="2136"/>
      <c r="O62" s="2135">
        <f t="shared" si="42"/>
        <v>1099</v>
      </c>
      <c r="P62" s="2133">
        <f t="shared" si="43"/>
        <v>5098</v>
      </c>
      <c r="Q62" s="2133">
        <f t="shared" si="44"/>
        <v>5098</v>
      </c>
      <c r="R62" s="2134">
        <f>Q62/P62%</f>
        <v>100</v>
      </c>
    </row>
    <row r="63" spans="1:18" ht="30" x14ac:dyDescent="0.4">
      <c r="A63" s="106" t="s">
        <v>310</v>
      </c>
      <c r="B63" s="1736" t="s">
        <v>311</v>
      </c>
      <c r="C63" s="2113">
        <f>SUM(C61:C62)</f>
        <v>83687</v>
      </c>
      <c r="D63" s="2114">
        <f t="shared" ref="D63:E63" si="54">SUM(D61:D62)</f>
        <v>93487</v>
      </c>
      <c r="E63" s="2114">
        <f t="shared" si="54"/>
        <v>86756</v>
      </c>
      <c r="F63" s="2115">
        <f>E63/D63%</f>
        <v>92.800068458716183</v>
      </c>
      <c r="G63" s="2116">
        <f>SUM(G61:G62)</f>
        <v>4500</v>
      </c>
      <c r="H63" s="2114">
        <f t="shared" ref="H63:I63" si="55">SUM(H61:H62)</f>
        <v>4500</v>
      </c>
      <c r="I63" s="2114">
        <f t="shared" si="55"/>
        <v>6937</v>
      </c>
      <c r="J63" s="2115">
        <f>I63/H63%</f>
        <v>154.15555555555557</v>
      </c>
      <c r="K63" s="2113">
        <f>SUM(K61:K62)</f>
        <v>5374</v>
      </c>
      <c r="L63" s="2114">
        <f t="shared" ref="L63:M63" si="56">SUM(L61:L62)</f>
        <v>6452</v>
      </c>
      <c r="M63" s="2114">
        <f t="shared" si="56"/>
        <v>6452</v>
      </c>
      <c r="N63" s="2123"/>
      <c r="O63" s="2116">
        <f t="shared" si="42"/>
        <v>93561</v>
      </c>
      <c r="P63" s="2114">
        <f t="shared" si="43"/>
        <v>104439</v>
      </c>
      <c r="Q63" s="2114">
        <f t="shared" si="44"/>
        <v>100145</v>
      </c>
      <c r="R63" s="2115">
        <f>Q63/P63%</f>
        <v>95.888509081856384</v>
      </c>
    </row>
    <row r="64" spans="1:18" ht="52.5" x14ac:dyDescent="0.2">
      <c r="A64" s="107" t="s">
        <v>312</v>
      </c>
      <c r="B64" s="1733" t="s">
        <v>252</v>
      </c>
      <c r="C64" s="2137"/>
      <c r="D64" s="2138"/>
      <c r="E64" s="2138"/>
      <c r="F64" s="2139"/>
      <c r="G64" s="2140"/>
      <c r="H64" s="2138"/>
      <c r="I64" s="2138"/>
      <c r="J64" s="2141"/>
      <c r="K64" s="2137"/>
      <c r="L64" s="2138"/>
      <c r="M64" s="2138"/>
      <c r="N64" s="2142"/>
      <c r="O64" s="2143">
        <f t="shared" si="42"/>
        <v>0</v>
      </c>
      <c r="P64" s="2144">
        <f t="shared" si="43"/>
        <v>0</v>
      </c>
      <c r="Q64" s="2144">
        <f t="shared" si="44"/>
        <v>0</v>
      </c>
      <c r="R64" s="2142"/>
    </row>
    <row r="65" spans="1:18" ht="52.5" x14ac:dyDescent="0.2">
      <c r="A65" s="107" t="s">
        <v>326</v>
      </c>
      <c r="B65" s="1733" t="s">
        <v>327</v>
      </c>
      <c r="C65" s="2145"/>
      <c r="D65" s="2146"/>
      <c r="E65" s="2146"/>
      <c r="F65" s="2147"/>
      <c r="G65" s="2148"/>
      <c r="H65" s="2146"/>
      <c r="I65" s="2146"/>
      <c r="J65" s="2149"/>
      <c r="K65" s="2145"/>
      <c r="L65" s="2146"/>
      <c r="M65" s="2146"/>
      <c r="N65" s="2150"/>
      <c r="O65" s="2151">
        <f t="shared" si="42"/>
        <v>0</v>
      </c>
      <c r="P65" s="2152">
        <f t="shared" si="43"/>
        <v>0</v>
      </c>
      <c r="Q65" s="2152">
        <f t="shared" si="44"/>
        <v>0</v>
      </c>
      <c r="R65" s="2150"/>
    </row>
    <row r="66" spans="1:18" ht="30" x14ac:dyDescent="0.4">
      <c r="A66" s="116" t="s">
        <v>322</v>
      </c>
      <c r="B66" s="1738" t="s">
        <v>42</v>
      </c>
      <c r="C66" s="2113">
        <f>SUM(C64:C65)</f>
        <v>0</v>
      </c>
      <c r="D66" s="2114">
        <f t="shared" ref="D66:E66" si="57">SUM(D64:D65)</f>
        <v>0</v>
      </c>
      <c r="E66" s="2114">
        <f t="shared" si="57"/>
        <v>0</v>
      </c>
      <c r="F66" s="2115"/>
      <c r="G66" s="2116">
        <f>SUM(G64:G65)</f>
        <v>0</v>
      </c>
      <c r="H66" s="2114">
        <f t="shared" ref="H66:I66" si="58">SUM(H64:H65)</f>
        <v>0</v>
      </c>
      <c r="I66" s="2114">
        <f t="shared" si="58"/>
        <v>0</v>
      </c>
      <c r="J66" s="2153"/>
      <c r="K66" s="2113">
        <f>SUM(K64:K65)</f>
        <v>0</v>
      </c>
      <c r="L66" s="2114">
        <f t="shared" ref="L66:M66" si="59">SUM(L64:L65)</f>
        <v>0</v>
      </c>
      <c r="M66" s="2114">
        <f t="shared" si="59"/>
        <v>0</v>
      </c>
      <c r="N66" s="2123"/>
      <c r="O66" s="2116">
        <f t="shared" si="42"/>
        <v>0</v>
      </c>
      <c r="P66" s="2114">
        <f t="shared" si="43"/>
        <v>0</v>
      </c>
      <c r="Q66" s="2114">
        <f t="shared" si="44"/>
        <v>0</v>
      </c>
      <c r="R66" s="2123"/>
    </row>
    <row r="67" spans="1:18" ht="30.75" thickBot="1" x14ac:dyDescent="0.45">
      <c r="A67" s="118"/>
      <c r="B67" s="1739" t="s">
        <v>346</v>
      </c>
      <c r="C67" s="2124">
        <f>C63+C66</f>
        <v>83687</v>
      </c>
      <c r="D67" s="2125">
        <f t="shared" ref="D67:E67" si="60">D63+D66</f>
        <v>93487</v>
      </c>
      <c r="E67" s="2125">
        <f t="shared" si="60"/>
        <v>86756</v>
      </c>
      <c r="F67" s="2126">
        <f>E67/D67%</f>
        <v>92.800068458716183</v>
      </c>
      <c r="G67" s="2127">
        <f>G63+G66</f>
        <v>4500</v>
      </c>
      <c r="H67" s="2125">
        <f t="shared" ref="H67:I67" si="61">H63+H66</f>
        <v>4500</v>
      </c>
      <c r="I67" s="2125">
        <f t="shared" si="61"/>
        <v>6937</v>
      </c>
      <c r="J67" s="2126">
        <f>I67/H67%</f>
        <v>154.15555555555557</v>
      </c>
      <c r="K67" s="2124">
        <f>K63+K66</f>
        <v>5374</v>
      </c>
      <c r="L67" s="2125">
        <f t="shared" ref="L67:M67" si="62">L63+L66</f>
        <v>6452</v>
      </c>
      <c r="M67" s="2125">
        <f t="shared" si="62"/>
        <v>6452</v>
      </c>
      <c r="N67" s="2154"/>
      <c r="O67" s="2127">
        <f t="shared" si="42"/>
        <v>93561</v>
      </c>
      <c r="P67" s="2125">
        <f t="shared" si="43"/>
        <v>104439</v>
      </c>
      <c r="Q67" s="2125">
        <f t="shared" si="44"/>
        <v>100145</v>
      </c>
      <c r="R67" s="2126">
        <f>Q67/P67%</f>
        <v>95.888509081856384</v>
      </c>
    </row>
    <row r="68" spans="1:18" ht="12.75" x14ac:dyDescent="0.2"/>
    <row r="69" spans="1:18" ht="30.75" x14ac:dyDescent="0.45">
      <c r="O69" s="1927"/>
      <c r="P69" s="1927"/>
      <c r="Q69" s="1927"/>
      <c r="R69" s="483"/>
    </row>
    <row r="70" spans="1:18" ht="30.75" x14ac:dyDescent="0.45">
      <c r="O70" s="1927"/>
      <c r="P70" s="1927"/>
      <c r="Q70" s="1927"/>
      <c r="R70" s="483"/>
    </row>
    <row r="71" spans="1:18" ht="30.75" x14ac:dyDescent="0.45">
      <c r="O71" s="1704"/>
      <c r="P71" s="1704"/>
      <c r="Q71" s="1704"/>
    </row>
    <row r="72" spans="1:18" ht="30.75" x14ac:dyDescent="0.45">
      <c r="O72" s="1704"/>
      <c r="P72" s="1704"/>
      <c r="Q72" s="1704"/>
    </row>
  </sheetData>
  <mergeCells count="15">
    <mergeCell ref="O7:R7"/>
    <mergeCell ref="A1:R1"/>
    <mergeCell ref="A2:R2"/>
    <mergeCell ref="A4:R4"/>
    <mergeCell ref="O43:R43"/>
    <mergeCell ref="A43:A44"/>
    <mergeCell ref="B43:B44"/>
    <mergeCell ref="C43:F43"/>
    <mergeCell ref="G43:J43"/>
    <mergeCell ref="K43:N43"/>
    <mergeCell ref="A7:A8"/>
    <mergeCell ref="B7:B8"/>
    <mergeCell ref="C7:F7"/>
    <mergeCell ref="G7:J7"/>
    <mergeCell ref="K7:N7"/>
  </mergeCells>
  <printOptions horizontalCentered="1"/>
  <pageMargins left="0.31496062992125984" right="0.27559055118110237" top="0.27559055118110237" bottom="0.31496062992125984" header="0.51181102362204722" footer="0.15748031496062992"/>
  <pageSetup paperSize="9" scale="2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71"/>
  <sheetViews>
    <sheetView view="pageBreakPreview" zoomScale="70" zoomScaleSheetLayoutView="70" workbookViewId="0">
      <selection activeCell="A2" sqref="A2:O2"/>
    </sheetView>
  </sheetViews>
  <sheetFormatPr defaultRowHeight="15" customHeight="1" x14ac:dyDescent="0.2"/>
  <cols>
    <col min="1" max="1" width="13" style="97" customWidth="1"/>
    <col min="2" max="2" width="74.5703125" style="97" customWidth="1"/>
    <col min="3" max="3" width="15.85546875" style="97" bestFit="1" customWidth="1"/>
    <col min="4" max="5" width="17.140625" style="97" bestFit="1" customWidth="1"/>
    <col min="6" max="6" width="14.85546875" style="97" bestFit="1" customWidth="1"/>
    <col min="7" max="7" width="19.7109375" style="97" customWidth="1"/>
    <col min="8" max="8" width="19" style="97" customWidth="1"/>
    <col min="9" max="9" width="17.85546875" style="97" customWidth="1"/>
    <col min="10" max="10" width="15.140625" style="97" customWidth="1"/>
    <col min="11" max="11" width="22.7109375" style="97" customWidth="1"/>
    <col min="12" max="12" width="22.28515625" style="97" customWidth="1"/>
    <col min="13" max="13" width="18" style="97" customWidth="1"/>
    <col min="14" max="14" width="15.140625" style="97" customWidth="1"/>
    <col min="15" max="16384" width="9.140625" style="97"/>
  </cols>
  <sheetData>
    <row r="1" spans="1:14" ht="28.5" x14ac:dyDescent="0.45">
      <c r="A1" s="2460" t="str">
        <f>'9.Művészetek Háza'!A1:O1</f>
        <v>Pilisvörösvár Város Önkormányzata Képviselő-testületének 7/2018. (IV. 27.) önkormányzati rendelete</v>
      </c>
      <c r="B1" s="2460"/>
      <c r="C1" s="2460"/>
      <c r="D1" s="2460"/>
      <c r="E1" s="2460"/>
      <c r="F1" s="2460"/>
      <c r="G1" s="2460"/>
      <c r="H1" s="2460"/>
      <c r="I1" s="2460"/>
      <c r="J1" s="2460"/>
      <c r="K1" s="2460"/>
      <c r="L1" s="2461"/>
      <c r="M1" s="2461"/>
      <c r="N1" s="2461"/>
    </row>
    <row r="2" spans="1:14" ht="28.5" x14ac:dyDescent="0.45">
      <c r="A2" s="2460" t="str">
        <f>'9.Művészetek Háza'!A2:O2</f>
        <v>az Önkormányzat  2017. évi zárszámadásáról</v>
      </c>
      <c r="B2" s="2460"/>
      <c r="C2" s="2460"/>
      <c r="D2" s="2460"/>
      <c r="E2" s="2460"/>
      <c r="F2" s="2460"/>
      <c r="G2" s="2460"/>
      <c r="H2" s="2460"/>
      <c r="I2" s="2460"/>
      <c r="J2" s="2460"/>
      <c r="K2" s="2460"/>
      <c r="L2" s="2461"/>
      <c r="M2" s="2461"/>
      <c r="N2" s="2461"/>
    </row>
    <row r="3" spans="1:14" ht="15" customHeight="1" x14ac:dyDescent="0.4">
      <c r="A3" s="2083"/>
      <c r="B3" s="2083"/>
      <c r="C3" s="2083"/>
      <c r="D3" s="2083"/>
      <c r="E3" s="2083"/>
      <c r="F3" s="2083"/>
      <c r="G3" s="2083"/>
      <c r="H3" s="2083"/>
      <c r="I3" s="2083"/>
      <c r="J3" s="2083"/>
      <c r="K3" s="2083"/>
      <c r="L3" s="2083"/>
      <c r="M3" s="2083"/>
      <c r="N3" s="2083"/>
    </row>
    <row r="4" spans="1:14" ht="27.75" customHeight="1" x14ac:dyDescent="0.45">
      <c r="A4" s="2460" t="str">
        <f>Tartalomjegyzék_2017!B17</f>
        <v>Gazdasági Ellátó Szervezet, Pilisvörösvár költségvetése kötelező és önként vállalt feladat szerinti bontásban</v>
      </c>
      <c r="B4" s="2460"/>
      <c r="C4" s="2460"/>
      <c r="D4" s="2460"/>
      <c r="E4" s="2460"/>
      <c r="F4" s="2460"/>
      <c r="G4" s="2460"/>
      <c r="H4" s="2460"/>
      <c r="I4" s="2460"/>
      <c r="J4" s="2460"/>
      <c r="K4" s="2460"/>
      <c r="L4" s="2461"/>
      <c r="M4" s="2461"/>
      <c r="N4" s="2461"/>
    </row>
    <row r="5" spans="1:14" ht="27.75" x14ac:dyDescent="0.4">
      <c r="A5" s="2083"/>
      <c r="B5" s="2083"/>
      <c r="C5" s="2083"/>
      <c r="D5" s="2083"/>
      <c r="E5" s="2083"/>
      <c r="F5" s="2083"/>
      <c r="G5" s="2083"/>
      <c r="H5" s="2083"/>
      <c r="I5" s="2083"/>
      <c r="J5" s="2083"/>
      <c r="K5" s="2083"/>
      <c r="L5" s="2084"/>
      <c r="M5" s="2084"/>
      <c r="N5" s="2084" t="s">
        <v>19</v>
      </c>
    </row>
    <row r="6" spans="1:14" ht="28.5" thickBot="1" x14ac:dyDescent="0.45">
      <c r="A6" s="2083"/>
      <c r="B6" s="2083"/>
      <c r="C6" s="2083"/>
      <c r="D6" s="2083"/>
      <c r="E6" s="2083"/>
      <c r="F6" s="2083"/>
      <c r="G6" s="2083"/>
      <c r="H6" s="2083"/>
      <c r="I6" s="2083"/>
      <c r="J6" s="2083"/>
      <c r="K6" s="2083"/>
      <c r="L6" s="2084"/>
      <c r="M6" s="2084"/>
      <c r="N6" s="2084" t="s">
        <v>323</v>
      </c>
    </row>
    <row r="7" spans="1:14" s="1493" customFormat="1" ht="26.25" x14ac:dyDescent="0.4">
      <c r="A7" s="2419" t="s">
        <v>364</v>
      </c>
      <c r="B7" s="2462" t="s">
        <v>799</v>
      </c>
      <c r="C7" s="2435" t="s">
        <v>152</v>
      </c>
      <c r="D7" s="2436"/>
      <c r="E7" s="2436"/>
      <c r="F7" s="2437"/>
      <c r="G7" s="2438" t="s">
        <v>1107</v>
      </c>
      <c r="H7" s="2436"/>
      <c r="I7" s="2436"/>
      <c r="J7" s="2439"/>
      <c r="K7" s="2435" t="s">
        <v>444</v>
      </c>
      <c r="L7" s="2436"/>
      <c r="M7" s="2436"/>
      <c r="N7" s="2437"/>
    </row>
    <row r="8" spans="1:14" s="855" customFormat="1" ht="121.5" x14ac:dyDescent="0.3">
      <c r="A8" s="2431"/>
      <c r="B8" s="2463" t="s">
        <v>799</v>
      </c>
      <c r="C8" s="1317" t="s">
        <v>1101</v>
      </c>
      <c r="D8" s="1318" t="s">
        <v>1102</v>
      </c>
      <c r="E8" s="1318" t="s">
        <v>1103</v>
      </c>
      <c r="F8" s="1319" t="s">
        <v>1084</v>
      </c>
      <c r="G8" s="1320" t="s">
        <v>1104</v>
      </c>
      <c r="H8" s="1318" t="s">
        <v>1105</v>
      </c>
      <c r="I8" s="1318" t="s">
        <v>1106</v>
      </c>
      <c r="J8" s="1321" t="s">
        <v>1084</v>
      </c>
      <c r="K8" s="2162" t="s">
        <v>1007</v>
      </c>
      <c r="L8" s="1318" t="s">
        <v>1069</v>
      </c>
      <c r="M8" s="1318" t="s">
        <v>1108</v>
      </c>
      <c r="N8" s="1319" t="s">
        <v>1084</v>
      </c>
    </row>
    <row r="9" spans="1:14" s="53" customFormat="1" ht="23.25" x14ac:dyDescent="0.35">
      <c r="A9" s="105" t="s">
        <v>374</v>
      </c>
      <c r="B9" s="1344" t="s">
        <v>373</v>
      </c>
      <c r="C9" s="1357"/>
      <c r="D9" s="1358"/>
      <c r="E9" s="1358"/>
      <c r="F9" s="1382"/>
      <c r="G9" s="1360"/>
      <c r="H9" s="1358"/>
      <c r="I9" s="1358"/>
      <c r="J9" s="1361"/>
      <c r="K9" s="1357">
        <f>C9+G9</f>
        <v>0</v>
      </c>
      <c r="L9" s="1358">
        <f t="shared" ref="L9:M9" si="0">D9+H9</f>
        <v>0</v>
      </c>
      <c r="M9" s="1358">
        <f t="shared" si="0"/>
        <v>0</v>
      </c>
      <c r="N9" s="1382"/>
    </row>
    <row r="10" spans="1:14" s="53" customFormat="1" ht="46.5" x14ac:dyDescent="0.35">
      <c r="A10" s="105" t="s">
        <v>376</v>
      </c>
      <c r="B10" s="1344" t="s">
        <v>375</v>
      </c>
      <c r="C10" s="1357"/>
      <c r="D10" s="1358"/>
      <c r="E10" s="1358"/>
      <c r="F10" s="1382"/>
      <c r="G10" s="1360"/>
      <c r="H10" s="1358"/>
      <c r="I10" s="1358"/>
      <c r="J10" s="1361"/>
      <c r="K10" s="1357">
        <f t="shared" ref="K10:K40" si="1">C10+G10</f>
        <v>0</v>
      </c>
      <c r="L10" s="1358">
        <f t="shared" ref="L10:L40" si="2">D10+H10</f>
        <v>0</v>
      </c>
      <c r="M10" s="1358">
        <f t="shared" ref="M10:M40" si="3">E10+I10</f>
        <v>0</v>
      </c>
      <c r="N10" s="1382"/>
    </row>
    <row r="11" spans="1:14" s="53" customFormat="1" ht="45" x14ac:dyDescent="0.35">
      <c r="A11" s="109" t="s">
        <v>378</v>
      </c>
      <c r="B11" s="1345" t="s">
        <v>377</v>
      </c>
      <c r="C11" s="1362"/>
      <c r="D11" s="1363"/>
      <c r="E11" s="1363"/>
      <c r="F11" s="1439"/>
      <c r="G11" s="1365"/>
      <c r="H11" s="1363"/>
      <c r="I11" s="1363"/>
      <c r="J11" s="1366"/>
      <c r="K11" s="1357">
        <f t="shared" si="1"/>
        <v>0</v>
      </c>
      <c r="L11" s="1358">
        <f t="shared" si="2"/>
        <v>0</v>
      </c>
      <c r="M11" s="1358">
        <f t="shared" si="3"/>
        <v>0</v>
      </c>
      <c r="N11" s="1382"/>
    </row>
    <row r="12" spans="1:14" ht="45" x14ac:dyDescent="0.35">
      <c r="A12" s="109" t="s">
        <v>382</v>
      </c>
      <c r="B12" s="1345" t="s">
        <v>381</v>
      </c>
      <c r="C12" s="1362"/>
      <c r="D12" s="1363"/>
      <c r="E12" s="1363"/>
      <c r="F12" s="1439"/>
      <c r="G12" s="1365"/>
      <c r="H12" s="1363"/>
      <c r="I12" s="1363"/>
      <c r="J12" s="1366"/>
      <c r="K12" s="1357">
        <f t="shared" si="1"/>
        <v>0</v>
      </c>
      <c r="L12" s="1358">
        <f t="shared" si="2"/>
        <v>0</v>
      </c>
      <c r="M12" s="1358">
        <f t="shared" si="3"/>
        <v>0</v>
      </c>
      <c r="N12" s="1382"/>
    </row>
    <row r="13" spans="1:14" ht="46.5" x14ac:dyDescent="0.35">
      <c r="A13" s="484" t="s">
        <v>146</v>
      </c>
      <c r="B13" s="1346" t="s">
        <v>157</v>
      </c>
      <c r="C13" s="1362"/>
      <c r="D13" s="1363"/>
      <c r="E13" s="1363"/>
      <c r="F13" s="1439"/>
      <c r="G13" s="1365"/>
      <c r="H13" s="1363"/>
      <c r="I13" s="1363"/>
      <c r="J13" s="1366"/>
      <c r="K13" s="1357">
        <f t="shared" si="1"/>
        <v>0</v>
      </c>
      <c r="L13" s="1358">
        <f t="shared" si="2"/>
        <v>0</v>
      </c>
      <c r="M13" s="1358">
        <f t="shared" si="3"/>
        <v>0</v>
      </c>
      <c r="N13" s="1382"/>
    </row>
    <row r="14" spans="1:14" s="53" customFormat="1" ht="46.5" x14ac:dyDescent="0.35">
      <c r="A14" s="105" t="s">
        <v>103</v>
      </c>
      <c r="B14" s="1344" t="s">
        <v>156</v>
      </c>
      <c r="C14" s="1357"/>
      <c r="D14" s="1358"/>
      <c r="E14" s="1358"/>
      <c r="F14" s="1382"/>
      <c r="G14" s="1360"/>
      <c r="H14" s="1358"/>
      <c r="I14" s="1358"/>
      <c r="J14" s="1361"/>
      <c r="K14" s="1357">
        <f t="shared" si="1"/>
        <v>0</v>
      </c>
      <c r="L14" s="1358">
        <f t="shared" si="2"/>
        <v>0</v>
      </c>
      <c r="M14" s="1358">
        <f t="shared" si="3"/>
        <v>0</v>
      </c>
      <c r="N14" s="1382"/>
    </row>
    <row r="15" spans="1:14" s="53" customFormat="1" ht="23.25" x14ac:dyDescent="0.35">
      <c r="A15" s="105" t="s">
        <v>385</v>
      </c>
      <c r="B15" s="1344" t="s">
        <v>153</v>
      </c>
      <c r="C15" s="1357"/>
      <c r="D15" s="1358"/>
      <c r="E15" s="1358"/>
      <c r="F15" s="1382"/>
      <c r="G15" s="1360"/>
      <c r="H15" s="1358"/>
      <c r="I15" s="1358"/>
      <c r="J15" s="1361"/>
      <c r="K15" s="1357">
        <f t="shared" si="1"/>
        <v>0</v>
      </c>
      <c r="L15" s="1358">
        <f t="shared" si="2"/>
        <v>0</v>
      </c>
      <c r="M15" s="1358">
        <f t="shared" si="3"/>
        <v>0</v>
      </c>
      <c r="N15" s="1382"/>
    </row>
    <row r="16" spans="1:14" s="53" customFormat="1" ht="22.5" x14ac:dyDescent="0.3">
      <c r="A16" s="109" t="s">
        <v>387</v>
      </c>
      <c r="B16" s="1345" t="s">
        <v>386</v>
      </c>
      <c r="C16" s="1362"/>
      <c r="D16" s="1363"/>
      <c r="E16" s="1363"/>
      <c r="F16" s="1439"/>
      <c r="G16" s="1365"/>
      <c r="H16" s="1363"/>
      <c r="I16" s="1363"/>
      <c r="J16" s="1366"/>
      <c r="K16" s="1362">
        <f t="shared" si="1"/>
        <v>0</v>
      </c>
      <c r="L16" s="1363">
        <f t="shared" si="2"/>
        <v>0</v>
      </c>
      <c r="M16" s="1363">
        <f t="shared" si="3"/>
        <v>0</v>
      </c>
      <c r="N16" s="1439"/>
    </row>
    <row r="17" spans="1:14" s="53" customFormat="1" ht="23.25" x14ac:dyDescent="0.35">
      <c r="A17" s="105" t="s">
        <v>114</v>
      </c>
      <c r="B17" s="1347" t="s">
        <v>388</v>
      </c>
      <c r="C17" s="1357"/>
      <c r="D17" s="1358"/>
      <c r="E17" s="1358"/>
      <c r="F17" s="1382"/>
      <c r="G17" s="1360"/>
      <c r="H17" s="1358"/>
      <c r="I17" s="1358"/>
      <c r="J17" s="1361"/>
      <c r="K17" s="1357">
        <f t="shared" si="1"/>
        <v>0</v>
      </c>
      <c r="L17" s="1358">
        <f t="shared" si="2"/>
        <v>0</v>
      </c>
      <c r="M17" s="1358">
        <f t="shared" si="3"/>
        <v>0</v>
      </c>
      <c r="N17" s="1382"/>
    </row>
    <row r="18" spans="1:14" s="53" customFormat="1" ht="23.25" x14ac:dyDescent="0.35">
      <c r="A18" s="105" t="s">
        <v>113</v>
      </c>
      <c r="B18" s="1344" t="s">
        <v>116</v>
      </c>
      <c r="C18" s="1357"/>
      <c r="D18" s="1358">
        <f>'3. Gesz költségvetés'!T20</f>
        <v>153</v>
      </c>
      <c r="E18" s="1358">
        <f>'3. Gesz költségvetés'!U20</f>
        <v>153</v>
      </c>
      <c r="F18" s="1359">
        <f>E18/D18%</f>
        <v>100</v>
      </c>
      <c r="G18" s="1360"/>
      <c r="H18" s="1358"/>
      <c r="I18" s="1358"/>
      <c r="J18" s="1361"/>
      <c r="K18" s="1357">
        <f t="shared" si="1"/>
        <v>0</v>
      </c>
      <c r="L18" s="1358">
        <f t="shared" si="2"/>
        <v>153</v>
      </c>
      <c r="M18" s="1358">
        <f t="shared" si="3"/>
        <v>153</v>
      </c>
      <c r="N18" s="1359">
        <f>M18/L18%</f>
        <v>100</v>
      </c>
    </row>
    <row r="19" spans="1:14" s="53" customFormat="1" ht="46.5" x14ac:dyDescent="0.35">
      <c r="A19" s="105" t="s">
        <v>112</v>
      </c>
      <c r="B19" s="1344" t="s">
        <v>107</v>
      </c>
      <c r="C19" s="1357"/>
      <c r="D19" s="1358"/>
      <c r="E19" s="1358"/>
      <c r="F19" s="1359"/>
      <c r="G19" s="1360"/>
      <c r="H19" s="1358"/>
      <c r="I19" s="1358"/>
      <c r="J19" s="1361"/>
      <c r="K19" s="1357">
        <f t="shared" si="1"/>
        <v>0</v>
      </c>
      <c r="L19" s="1358">
        <f t="shared" si="2"/>
        <v>0</v>
      </c>
      <c r="M19" s="1358">
        <f t="shared" si="3"/>
        <v>0</v>
      </c>
      <c r="N19" s="1382"/>
    </row>
    <row r="20" spans="1:14" s="53" customFormat="1" ht="23.25" x14ac:dyDescent="0.35">
      <c r="A20" s="105" t="s">
        <v>395</v>
      </c>
      <c r="B20" s="1344" t="s">
        <v>394</v>
      </c>
      <c r="C20" s="1357"/>
      <c r="D20" s="1358"/>
      <c r="E20" s="1358"/>
      <c r="F20" s="1359"/>
      <c r="G20" s="1360"/>
      <c r="H20" s="1358"/>
      <c r="I20" s="1358"/>
      <c r="J20" s="1361"/>
      <c r="K20" s="1357">
        <f t="shared" si="1"/>
        <v>0</v>
      </c>
      <c r="L20" s="1358">
        <f t="shared" si="2"/>
        <v>0</v>
      </c>
      <c r="M20" s="1358">
        <f t="shared" si="3"/>
        <v>0</v>
      </c>
      <c r="N20" s="1382"/>
    </row>
    <row r="21" spans="1:14" s="53" customFormat="1" ht="23.25" x14ac:dyDescent="0.35">
      <c r="A21" s="105" t="s">
        <v>397</v>
      </c>
      <c r="B21" s="1344" t="s">
        <v>396</v>
      </c>
      <c r="C21" s="1357"/>
      <c r="D21" s="1358"/>
      <c r="E21" s="1358"/>
      <c r="F21" s="1359"/>
      <c r="G21" s="1360"/>
      <c r="H21" s="1358"/>
      <c r="I21" s="1358"/>
      <c r="J21" s="1361"/>
      <c r="K21" s="1357">
        <f t="shared" si="1"/>
        <v>0</v>
      </c>
      <c r="L21" s="1358">
        <f t="shared" si="2"/>
        <v>0</v>
      </c>
      <c r="M21" s="1358">
        <f t="shared" si="3"/>
        <v>0</v>
      </c>
      <c r="N21" s="1382"/>
    </row>
    <row r="22" spans="1:14" s="53" customFormat="1" ht="23.25" x14ac:dyDescent="0.35">
      <c r="A22" s="105" t="s">
        <v>401</v>
      </c>
      <c r="B22" s="1344" t="s">
        <v>400</v>
      </c>
      <c r="C22" s="1357"/>
      <c r="D22" s="1358"/>
      <c r="E22" s="1358"/>
      <c r="F22" s="1359"/>
      <c r="G22" s="1360"/>
      <c r="H22" s="1358"/>
      <c r="I22" s="1358"/>
      <c r="J22" s="1361"/>
      <c r="K22" s="1357">
        <f t="shared" si="1"/>
        <v>0</v>
      </c>
      <c r="L22" s="1358">
        <f t="shared" si="2"/>
        <v>0</v>
      </c>
      <c r="M22" s="1358">
        <f t="shared" si="3"/>
        <v>0</v>
      </c>
      <c r="N22" s="1382"/>
    </row>
    <row r="23" spans="1:14" s="53" customFormat="1" ht="22.5" x14ac:dyDescent="0.3">
      <c r="A23" s="109" t="s">
        <v>403</v>
      </c>
      <c r="B23" s="1348" t="s">
        <v>402</v>
      </c>
      <c r="C23" s="1362">
        <f>SUM(C17:C22)</f>
        <v>0</v>
      </c>
      <c r="D23" s="1363">
        <f t="shared" ref="D23:E23" si="4">SUM(D17:D22)</f>
        <v>153</v>
      </c>
      <c r="E23" s="1363">
        <f t="shared" si="4"/>
        <v>153</v>
      </c>
      <c r="F23" s="1364">
        <f>E23/D23%</f>
        <v>100</v>
      </c>
      <c r="G23" s="1365">
        <f>SUM(G17:G22)</f>
        <v>0</v>
      </c>
      <c r="H23" s="1363">
        <f t="shared" ref="H23:I23" si="5">SUM(H17:H22)</f>
        <v>0</v>
      </c>
      <c r="I23" s="1363">
        <f t="shared" si="5"/>
        <v>0</v>
      </c>
      <c r="J23" s="1366"/>
      <c r="K23" s="1362">
        <f t="shared" si="1"/>
        <v>0</v>
      </c>
      <c r="L23" s="1363">
        <f t="shared" si="2"/>
        <v>153</v>
      </c>
      <c r="M23" s="1363">
        <f t="shared" si="3"/>
        <v>153</v>
      </c>
      <c r="N23" s="1364">
        <f>M23/L23%</f>
        <v>100</v>
      </c>
    </row>
    <row r="24" spans="1:14" s="53" customFormat="1" ht="22.5" x14ac:dyDescent="0.3">
      <c r="A24" s="109" t="s">
        <v>409</v>
      </c>
      <c r="B24" s="1345" t="s">
        <v>408</v>
      </c>
      <c r="C24" s="1362"/>
      <c r="D24" s="1363"/>
      <c r="E24" s="1363"/>
      <c r="F24" s="1439"/>
      <c r="G24" s="1365"/>
      <c r="H24" s="1363"/>
      <c r="I24" s="1363"/>
      <c r="J24" s="1366"/>
      <c r="K24" s="1362">
        <f t="shared" si="1"/>
        <v>0</v>
      </c>
      <c r="L24" s="1363">
        <f t="shared" si="2"/>
        <v>0</v>
      </c>
      <c r="M24" s="1363">
        <f t="shared" si="3"/>
        <v>0</v>
      </c>
      <c r="N24" s="1439"/>
    </row>
    <row r="25" spans="1:14" s="53" customFormat="1" ht="22.5" x14ac:dyDescent="0.3">
      <c r="A25" s="109" t="s">
        <v>413</v>
      </c>
      <c r="B25" s="1345" t="s">
        <v>412</v>
      </c>
      <c r="C25" s="1362"/>
      <c r="D25" s="1363"/>
      <c r="E25" s="1363"/>
      <c r="F25" s="1439"/>
      <c r="G25" s="1365"/>
      <c r="H25" s="1363"/>
      <c r="I25" s="1363"/>
      <c r="J25" s="1366"/>
      <c r="K25" s="1362">
        <f t="shared" si="1"/>
        <v>0</v>
      </c>
      <c r="L25" s="1363">
        <f t="shared" si="2"/>
        <v>0</v>
      </c>
      <c r="M25" s="1363">
        <f t="shared" si="3"/>
        <v>0</v>
      </c>
      <c r="N25" s="1439"/>
    </row>
    <row r="26" spans="1:14" s="53" customFormat="1" ht="46.5" x14ac:dyDescent="0.35">
      <c r="A26" s="105" t="s">
        <v>415</v>
      </c>
      <c r="B26" s="1344" t="s">
        <v>414</v>
      </c>
      <c r="C26" s="1362"/>
      <c r="D26" s="1363"/>
      <c r="E26" s="1363"/>
      <c r="F26" s="1439"/>
      <c r="G26" s="1365"/>
      <c r="H26" s="1363"/>
      <c r="I26" s="1363"/>
      <c r="J26" s="1366"/>
      <c r="K26" s="1357">
        <f t="shared" si="1"/>
        <v>0</v>
      </c>
      <c r="L26" s="1358">
        <f t="shared" si="2"/>
        <v>0</v>
      </c>
      <c r="M26" s="1358">
        <f t="shared" si="3"/>
        <v>0</v>
      </c>
      <c r="N26" s="1382"/>
    </row>
    <row r="27" spans="1:14" s="53" customFormat="1" ht="23.25" x14ac:dyDescent="0.35">
      <c r="A27" s="105" t="s">
        <v>417</v>
      </c>
      <c r="B27" s="1347" t="s">
        <v>416</v>
      </c>
      <c r="C27" s="1362"/>
      <c r="D27" s="1363"/>
      <c r="E27" s="1363"/>
      <c r="F27" s="1439"/>
      <c r="G27" s="1365"/>
      <c r="H27" s="1363"/>
      <c r="I27" s="1363"/>
      <c r="J27" s="1366"/>
      <c r="K27" s="1357">
        <f t="shared" si="1"/>
        <v>0</v>
      </c>
      <c r="L27" s="1358">
        <f t="shared" si="2"/>
        <v>0</v>
      </c>
      <c r="M27" s="1358">
        <f t="shared" si="3"/>
        <v>0</v>
      </c>
      <c r="N27" s="1382"/>
    </row>
    <row r="28" spans="1:14" s="53" customFormat="1" ht="22.5" x14ac:dyDescent="0.3">
      <c r="A28" s="109" t="s">
        <v>419</v>
      </c>
      <c r="B28" s="1345" t="s">
        <v>418</v>
      </c>
      <c r="C28" s="1362"/>
      <c r="D28" s="1363"/>
      <c r="E28" s="1363"/>
      <c r="F28" s="1439"/>
      <c r="G28" s="1365"/>
      <c r="H28" s="1363"/>
      <c r="I28" s="1363"/>
      <c r="J28" s="1366"/>
      <c r="K28" s="1362">
        <f t="shared" si="1"/>
        <v>0</v>
      </c>
      <c r="L28" s="1363">
        <f t="shared" si="2"/>
        <v>0</v>
      </c>
      <c r="M28" s="1363">
        <f t="shared" si="3"/>
        <v>0</v>
      </c>
      <c r="N28" s="1439"/>
    </row>
    <row r="29" spans="1:14" s="53" customFormat="1" ht="22.5" x14ac:dyDescent="0.3">
      <c r="A29" s="111"/>
      <c r="B29" s="1349" t="s">
        <v>92</v>
      </c>
      <c r="C29" s="1367">
        <f>C11+C12+C16+C23+C25</f>
        <v>0</v>
      </c>
      <c r="D29" s="1368">
        <f t="shared" ref="D29:E29" si="6">D11+D12+D16+D23+D25</f>
        <v>153</v>
      </c>
      <c r="E29" s="1368">
        <f t="shared" si="6"/>
        <v>153</v>
      </c>
      <c r="F29" s="1369">
        <f>E29/D29%</f>
        <v>100</v>
      </c>
      <c r="G29" s="1370">
        <f>G11+G12+G16+G23+G25</f>
        <v>0</v>
      </c>
      <c r="H29" s="1368">
        <f t="shared" ref="H29:I29" si="7">H11+H12+H16+H23+H25</f>
        <v>0</v>
      </c>
      <c r="I29" s="1368">
        <f t="shared" si="7"/>
        <v>0</v>
      </c>
      <c r="J29" s="1371"/>
      <c r="K29" s="1367">
        <f t="shared" si="1"/>
        <v>0</v>
      </c>
      <c r="L29" s="1368">
        <f t="shared" si="2"/>
        <v>153</v>
      </c>
      <c r="M29" s="1368">
        <f t="shared" si="3"/>
        <v>153</v>
      </c>
      <c r="N29" s="1369">
        <f>M29/L29%</f>
        <v>100</v>
      </c>
    </row>
    <row r="30" spans="1:14" ht="22.5" x14ac:dyDescent="0.3">
      <c r="A30" s="111"/>
      <c r="B30" s="1349" t="s">
        <v>93</v>
      </c>
      <c r="C30" s="1367">
        <f>C24+C28</f>
        <v>0</v>
      </c>
      <c r="D30" s="1368">
        <f t="shared" ref="D30:E30" si="8">D24+D28</f>
        <v>0</v>
      </c>
      <c r="E30" s="1368">
        <f t="shared" si="8"/>
        <v>0</v>
      </c>
      <c r="F30" s="1440"/>
      <c r="G30" s="1370">
        <f>G24+G28</f>
        <v>0</v>
      </c>
      <c r="H30" s="1368">
        <f t="shared" ref="H30:I30" si="9">H24+H28</f>
        <v>0</v>
      </c>
      <c r="I30" s="1368">
        <f t="shared" si="9"/>
        <v>0</v>
      </c>
      <c r="J30" s="1371"/>
      <c r="K30" s="1367">
        <f t="shared" si="1"/>
        <v>0</v>
      </c>
      <c r="L30" s="1368">
        <f t="shared" si="2"/>
        <v>0</v>
      </c>
      <c r="M30" s="1368">
        <f t="shared" si="3"/>
        <v>0</v>
      </c>
      <c r="N30" s="1440"/>
    </row>
    <row r="31" spans="1:14" ht="22.5" x14ac:dyDescent="0.3">
      <c r="A31" s="106" t="s">
        <v>421</v>
      </c>
      <c r="B31" s="1350" t="s">
        <v>420</v>
      </c>
      <c r="C31" s="1372">
        <f>SUM(C29:C30)</f>
        <v>0</v>
      </c>
      <c r="D31" s="1373">
        <f t="shared" ref="D31:E31" si="10">SUM(D29:D30)</f>
        <v>153</v>
      </c>
      <c r="E31" s="1373">
        <f t="shared" si="10"/>
        <v>153</v>
      </c>
      <c r="F31" s="1374">
        <f>E31/D31%</f>
        <v>100</v>
      </c>
      <c r="G31" s="1375">
        <f>SUM(G29:G30)</f>
        <v>0</v>
      </c>
      <c r="H31" s="1373">
        <f t="shared" ref="H31:I31" si="11">SUM(H29:H30)</f>
        <v>0</v>
      </c>
      <c r="I31" s="1373">
        <f t="shared" si="11"/>
        <v>0</v>
      </c>
      <c r="J31" s="1376"/>
      <c r="K31" s="1372">
        <f t="shared" si="1"/>
        <v>0</v>
      </c>
      <c r="L31" s="1373">
        <f t="shared" si="2"/>
        <v>153</v>
      </c>
      <c r="M31" s="1373">
        <f t="shared" si="3"/>
        <v>153</v>
      </c>
      <c r="N31" s="1374">
        <f>M31/L31%</f>
        <v>100</v>
      </c>
    </row>
    <row r="32" spans="1:14" ht="23.25" x14ac:dyDescent="0.35">
      <c r="A32" s="112"/>
      <c r="B32" s="1351" t="s">
        <v>422</v>
      </c>
      <c r="C32" s="1377">
        <f>C29-C60</f>
        <v>-37841</v>
      </c>
      <c r="D32" s="1378">
        <f t="shared" ref="D32:E32" si="12">D29-D60</f>
        <v>-38219</v>
      </c>
      <c r="E32" s="1378">
        <f t="shared" si="12"/>
        <v>-33406</v>
      </c>
      <c r="F32" s="1379"/>
      <c r="G32" s="1380">
        <f>G29-G60</f>
        <v>0</v>
      </c>
      <c r="H32" s="1378">
        <f t="shared" ref="H32:I32" si="13">H29-H60</f>
        <v>0</v>
      </c>
      <c r="I32" s="1378">
        <f t="shared" si="13"/>
        <v>0</v>
      </c>
      <c r="J32" s="1381"/>
      <c r="K32" s="1377">
        <f t="shared" si="1"/>
        <v>-37841</v>
      </c>
      <c r="L32" s="1378">
        <f t="shared" si="2"/>
        <v>-38219</v>
      </c>
      <c r="M32" s="1378">
        <f t="shared" si="3"/>
        <v>-33406</v>
      </c>
      <c r="N32" s="1379"/>
    </row>
    <row r="33" spans="1:14" ht="23.25" x14ac:dyDescent="0.35">
      <c r="A33" s="112"/>
      <c r="B33" s="1351" t="s">
        <v>423</v>
      </c>
      <c r="C33" s="1377">
        <f>C30-C61</f>
        <v>-216</v>
      </c>
      <c r="D33" s="1378">
        <f t="shared" ref="D33:E33" si="14">D30-D61</f>
        <v>-1076</v>
      </c>
      <c r="E33" s="1378">
        <f t="shared" si="14"/>
        <v>-1076</v>
      </c>
      <c r="F33" s="1379"/>
      <c r="G33" s="1380">
        <f>G30-G61</f>
        <v>0</v>
      </c>
      <c r="H33" s="1378">
        <f t="shared" ref="H33:I33" si="15">H30-H61</f>
        <v>0</v>
      </c>
      <c r="I33" s="1378">
        <f t="shared" si="15"/>
        <v>0</v>
      </c>
      <c r="J33" s="1381"/>
      <c r="K33" s="1377">
        <f t="shared" si="1"/>
        <v>-216</v>
      </c>
      <c r="L33" s="1378">
        <f t="shared" si="2"/>
        <v>-1076</v>
      </c>
      <c r="M33" s="1378">
        <f t="shared" si="3"/>
        <v>-1076</v>
      </c>
      <c r="N33" s="1379"/>
    </row>
    <row r="34" spans="1:14" ht="23.25" x14ac:dyDescent="0.35">
      <c r="A34" s="107" t="s">
        <v>427</v>
      </c>
      <c r="B34" s="1347" t="s">
        <v>426</v>
      </c>
      <c r="C34" s="1357"/>
      <c r="D34" s="1358"/>
      <c r="E34" s="1358"/>
      <c r="F34" s="1382"/>
      <c r="G34" s="1360"/>
      <c r="H34" s="1358"/>
      <c r="I34" s="1358"/>
      <c r="J34" s="1361"/>
      <c r="K34" s="1357">
        <f t="shared" si="1"/>
        <v>0</v>
      </c>
      <c r="L34" s="1358">
        <f t="shared" si="2"/>
        <v>0</v>
      </c>
      <c r="M34" s="1358">
        <f t="shared" si="3"/>
        <v>0</v>
      </c>
      <c r="N34" s="1382"/>
    </row>
    <row r="35" spans="1:14" ht="46.5" x14ac:dyDescent="0.35">
      <c r="A35" s="107" t="s">
        <v>429</v>
      </c>
      <c r="B35" s="1344" t="s">
        <v>428</v>
      </c>
      <c r="C35" s="1357"/>
      <c r="D35" s="1358">
        <f>'3. Gesz költségvetés'!T30</f>
        <v>1191</v>
      </c>
      <c r="E35" s="1358">
        <f>'3. Gesz költségvetés'!U30</f>
        <v>1191</v>
      </c>
      <c r="F35" s="1359">
        <f>E35/D35%</f>
        <v>100</v>
      </c>
      <c r="G35" s="1360"/>
      <c r="H35" s="1358"/>
      <c r="I35" s="1358"/>
      <c r="J35" s="1361"/>
      <c r="K35" s="1357">
        <f t="shared" si="1"/>
        <v>0</v>
      </c>
      <c r="L35" s="1358">
        <f t="shared" si="2"/>
        <v>1191</v>
      </c>
      <c r="M35" s="1358">
        <f t="shared" si="3"/>
        <v>1191</v>
      </c>
      <c r="N35" s="1359">
        <f>M35/L35%</f>
        <v>100</v>
      </c>
    </row>
    <row r="36" spans="1:14" ht="46.5" x14ac:dyDescent="0.35">
      <c r="A36" s="107" t="s">
        <v>429</v>
      </c>
      <c r="B36" s="1344" t="s">
        <v>430</v>
      </c>
      <c r="C36" s="1357"/>
      <c r="D36" s="1358"/>
      <c r="E36" s="1358"/>
      <c r="F36" s="1359"/>
      <c r="G36" s="1360"/>
      <c r="H36" s="1358"/>
      <c r="I36" s="1358"/>
      <c r="J36" s="1361"/>
      <c r="K36" s="1357">
        <f t="shared" si="1"/>
        <v>0</v>
      </c>
      <c r="L36" s="1358">
        <f t="shared" si="2"/>
        <v>0</v>
      </c>
      <c r="M36" s="1358">
        <f t="shared" si="3"/>
        <v>0</v>
      </c>
      <c r="N36" s="1359"/>
    </row>
    <row r="37" spans="1:14" s="53" customFormat="1" ht="23.25" x14ac:dyDescent="0.35">
      <c r="A37" s="107" t="s">
        <v>432</v>
      </c>
      <c r="B37" s="1344" t="s">
        <v>431</v>
      </c>
      <c r="C37" s="1357"/>
      <c r="D37" s="1358">
        <f>SUM(D35:D36)</f>
        <v>1191</v>
      </c>
      <c r="E37" s="1358">
        <f>SUM(E35:E36)</f>
        <v>1191</v>
      </c>
      <c r="F37" s="1359">
        <f t="shared" ref="F37:F40" si="16">E37/D37%</f>
        <v>100</v>
      </c>
      <c r="G37" s="1360"/>
      <c r="H37" s="1358"/>
      <c r="I37" s="1358"/>
      <c r="J37" s="1361"/>
      <c r="K37" s="1357">
        <f t="shared" si="1"/>
        <v>0</v>
      </c>
      <c r="L37" s="1358">
        <f t="shared" si="2"/>
        <v>1191</v>
      </c>
      <c r="M37" s="1358">
        <f t="shared" si="3"/>
        <v>1191</v>
      </c>
      <c r="N37" s="1359">
        <f>M37/L37%</f>
        <v>100</v>
      </c>
    </row>
    <row r="38" spans="1:14" ht="23.25" x14ac:dyDescent="0.35">
      <c r="A38" s="113" t="s">
        <v>434</v>
      </c>
      <c r="B38" s="1812" t="s">
        <v>433</v>
      </c>
      <c r="C38" s="1357">
        <v>38057</v>
      </c>
      <c r="D38" s="1358">
        <f>'3. Gesz költségvetés'!T33</f>
        <v>38104</v>
      </c>
      <c r="E38" s="1358">
        <f>'3. Gesz költségvetés'!U33</f>
        <v>33424</v>
      </c>
      <c r="F38" s="1359">
        <f>E38/D38%</f>
        <v>87.71782490027293</v>
      </c>
      <c r="G38" s="1360"/>
      <c r="H38" s="1358"/>
      <c r="I38" s="1358"/>
      <c r="J38" s="1361"/>
      <c r="K38" s="1357">
        <f t="shared" si="1"/>
        <v>38057</v>
      </c>
      <c r="L38" s="1358">
        <f t="shared" si="2"/>
        <v>38104</v>
      </c>
      <c r="M38" s="1358">
        <f t="shared" si="3"/>
        <v>33424</v>
      </c>
      <c r="N38" s="1359">
        <f>M38/L38%</f>
        <v>87.71782490027293</v>
      </c>
    </row>
    <row r="39" spans="1:14" ht="22.5" x14ac:dyDescent="0.3">
      <c r="A39" s="116" t="s">
        <v>442</v>
      </c>
      <c r="B39" s="1352" t="s">
        <v>441</v>
      </c>
      <c r="C39" s="1372">
        <f>SUM(C34:C38)</f>
        <v>38057</v>
      </c>
      <c r="D39" s="1373">
        <f>SUM(D37:D38)</f>
        <v>39295</v>
      </c>
      <c r="E39" s="1373">
        <f>SUM(E37:E38)</f>
        <v>34615</v>
      </c>
      <c r="F39" s="1374">
        <f t="shared" si="16"/>
        <v>88.090087797429703</v>
      </c>
      <c r="G39" s="1375">
        <f>SUM(G34:G38)</f>
        <v>0</v>
      </c>
      <c r="H39" s="1373">
        <f t="shared" ref="H39:I39" si="17">SUM(H34:H38)</f>
        <v>0</v>
      </c>
      <c r="I39" s="1373">
        <f t="shared" si="17"/>
        <v>0</v>
      </c>
      <c r="J39" s="1376"/>
      <c r="K39" s="1372">
        <f t="shared" si="1"/>
        <v>38057</v>
      </c>
      <c r="L39" s="1373">
        <f t="shared" si="2"/>
        <v>39295</v>
      </c>
      <c r="M39" s="1373">
        <f t="shared" si="3"/>
        <v>34615</v>
      </c>
      <c r="N39" s="1374">
        <f>M39/L39%</f>
        <v>88.090087797429703</v>
      </c>
    </row>
    <row r="40" spans="1:14" ht="23.25" thickBot="1" x14ac:dyDescent="0.35">
      <c r="A40" s="118"/>
      <c r="B40" s="1353" t="s">
        <v>356</v>
      </c>
      <c r="C40" s="1383">
        <f>C31+C38</f>
        <v>38057</v>
      </c>
      <c r="D40" s="1384">
        <f>D31+D39</f>
        <v>39448</v>
      </c>
      <c r="E40" s="1384">
        <f>E31+E39</f>
        <v>34768</v>
      </c>
      <c r="F40" s="1385">
        <f t="shared" si="16"/>
        <v>88.136280673291424</v>
      </c>
      <c r="G40" s="1386">
        <f>G31+G38</f>
        <v>0</v>
      </c>
      <c r="H40" s="1384">
        <f t="shared" ref="H40:I40" si="18">H31+H38</f>
        <v>0</v>
      </c>
      <c r="I40" s="1384">
        <f t="shared" si="18"/>
        <v>0</v>
      </c>
      <c r="J40" s="1387"/>
      <c r="K40" s="1383">
        <f t="shared" si="1"/>
        <v>38057</v>
      </c>
      <c r="L40" s="1384">
        <f t="shared" si="2"/>
        <v>39448</v>
      </c>
      <c r="M40" s="1384">
        <f t="shared" si="3"/>
        <v>34768</v>
      </c>
      <c r="N40" s="1385">
        <f>M40/L40%</f>
        <v>88.136280673291424</v>
      </c>
    </row>
    <row r="41" spans="1:14" ht="17.25" thickBot="1" x14ac:dyDescent="0.3">
      <c r="A41" s="1143"/>
      <c r="B41" s="1143"/>
      <c r="C41" s="1143"/>
      <c r="D41" s="1143"/>
      <c r="E41" s="1143"/>
      <c r="F41" s="1143"/>
      <c r="G41" s="1143"/>
      <c r="H41" s="1143"/>
      <c r="I41" s="1143"/>
      <c r="J41" s="1143"/>
      <c r="K41" s="1143"/>
      <c r="L41" s="957"/>
      <c r="M41" s="957"/>
      <c r="N41" s="957"/>
    </row>
    <row r="42" spans="1:14" s="1341" customFormat="1" ht="23.25" x14ac:dyDescent="0.35">
      <c r="A42" s="2419" t="s">
        <v>364</v>
      </c>
      <c r="B42" s="2462" t="s">
        <v>804</v>
      </c>
      <c r="C42" s="2446" t="s">
        <v>152</v>
      </c>
      <c r="D42" s="2447"/>
      <c r="E42" s="2447"/>
      <c r="F42" s="2448"/>
      <c r="G42" s="2449" t="s">
        <v>1107</v>
      </c>
      <c r="H42" s="2447"/>
      <c r="I42" s="2447"/>
      <c r="J42" s="2450"/>
      <c r="K42" s="2446" t="s">
        <v>444</v>
      </c>
      <c r="L42" s="2447"/>
      <c r="M42" s="2447"/>
      <c r="N42" s="2448"/>
    </row>
    <row r="43" spans="1:14" s="855" customFormat="1" ht="121.5" x14ac:dyDescent="0.3">
      <c r="A43" s="2431"/>
      <c r="B43" s="2463" t="s">
        <v>799</v>
      </c>
      <c r="C43" s="1317" t="s">
        <v>1101</v>
      </c>
      <c r="D43" s="1318" t="s">
        <v>1102</v>
      </c>
      <c r="E43" s="1318" t="s">
        <v>1103</v>
      </c>
      <c r="F43" s="1319" t="s">
        <v>1084</v>
      </c>
      <c r="G43" s="1320" t="s">
        <v>1104</v>
      </c>
      <c r="H43" s="1318" t="s">
        <v>1105</v>
      </c>
      <c r="I43" s="1318" t="s">
        <v>1106</v>
      </c>
      <c r="J43" s="1321" t="s">
        <v>1084</v>
      </c>
      <c r="K43" s="2162" t="s">
        <v>1007</v>
      </c>
      <c r="L43" s="1318" t="s">
        <v>1069</v>
      </c>
      <c r="M43" s="1318" t="s">
        <v>1108</v>
      </c>
      <c r="N43" s="1319" t="s">
        <v>1084</v>
      </c>
    </row>
    <row r="44" spans="1:14" ht="23.25" x14ac:dyDescent="0.35">
      <c r="A44" s="102" t="s">
        <v>288</v>
      </c>
      <c r="B44" s="1354" t="s">
        <v>289</v>
      </c>
      <c r="C44" s="1357">
        <v>21444</v>
      </c>
      <c r="D44" s="1358">
        <f>'3. Gesz költségvetés'!T39</f>
        <v>21491</v>
      </c>
      <c r="E44" s="1358">
        <f>'3. Gesz költségvetés'!U39</f>
        <v>20466</v>
      </c>
      <c r="F44" s="1359">
        <f>E44/D44%</f>
        <v>95.230561630449955</v>
      </c>
      <c r="G44" s="1360"/>
      <c r="H44" s="1358"/>
      <c r="I44" s="1358"/>
      <c r="J44" s="1361"/>
      <c r="K44" s="1357">
        <f>C44+G44</f>
        <v>21444</v>
      </c>
      <c r="L44" s="1358">
        <f t="shared" ref="L44:M44" si="19">D44+H44</f>
        <v>21491</v>
      </c>
      <c r="M44" s="1358">
        <f t="shared" si="19"/>
        <v>20466</v>
      </c>
      <c r="N44" s="1359">
        <f>M44/L44%</f>
        <v>95.230561630449955</v>
      </c>
    </row>
    <row r="45" spans="1:14" ht="46.5" x14ac:dyDescent="0.35">
      <c r="A45" s="102" t="s">
        <v>290</v>
      </c>
      <c r="B45" s="1344" t="s">
        <v>291</v>
      </c>
      <c r="C45" s="1357">
        <v>5445</v>
      </c>
      <c r="D45" s="1358">
        <f>'3. Gesz költségvetés'!T40</f>
        <v>5455</v>
      </c>
      <c r="E45" s="1358">
        <f>'3. Gesz költségvetés'!U40</f>
        <v>5300</v>
      </c>
      <c r="F45" s="1359">
        <f t="shared" ref="F45:F48" si="20">E45/D45%</f>
        <v>97.158570119156735</v>
      </c>
      <c r="G45" s="1360"/>
      <c r="H45" s="1358"/>
      <c r="I45" s="1358"/>
      <c r="J45" s="1361"/>
      <c r="K45" s="1357">
        <f t="shared" ref="K45:K66" si="21">C45+G45</f>
        <v>5445</v>
      </c>
      <c r="L45" s="1358">
        <f t="shared" ref="L45:L66" si="22">D45+H45</f>
        <v>5455</v>
      </c>
      <c r="M45" s="1358">
        <f t="shared" ref="M45:M66" si="23">E45+I45</f>
        <v>5300</v>
      </c>
      <c r="N45" s="1359">
        <f>M45/L45%</f>
        <v>97.158570119156735</v>
      </c>
    </row>
    <row r="46" spans="1:14" ht="23.25" x14ac:dyDescent="0.35">
      <c r="A46" s="102" t="s">
        <v>292</v>
      </c>
      <c r="B46" s="1344" t="s">
        <v>293</v>
      </c>
      <c r="C46" s="1357">
        <v>10952</v>
      </c>
      <c r="D46" s="1358">
        <f>'3. Gesz költségvetés'!T41</f>
        <v>10245</v>
      </c>
      <c r="E46" s="1358">
        <f>'3. Gesz költségvetés'!U41</f>
        <v>6612</v>
      </c>
      <c r="F46" s="1359">
        <f t="shared" si="20"/>
        <v>64.53879941434846</v>
      </c>
      <c r="G46" s="1360"/>
      <c r="H46" s="1358"/>
      <c r="I46" s="1358"/>
      <c r="J46" s="1361"/>
      <c r="K46" s="1357">
        <f t="shared" si="21"/>
        <v>10952</v>
      </c>
      <c r="L46" s="1358">
        <f t="shared" si="22"/>
        <v>10245</v>
      </c>
      <c r="M46" s="1358">
        <f t="shared" si="23"/>
        <v>6612</v>
      </c>
      <c r="N46" s="1359">
        <f>M46/L46%</f>
        <v>64.53879941434846</v>
      </c>
    </row>
    <row r="47" spans="1:14" ht="23.25" x14ac:dyDescent="0.35">
      <c r="A47" s="102" t="s">
        <v>294</v>
      </c>
      <c r="B47" s="1347" t="s">
        <v>39</v>
      </c>
      <c r="C47" s="1357"/>
      <c r="D47" s="1358"/>
      <c r="E47" s="1358"/>
      <c r="F47" s="1359"/>
      <c r="G47" s="1360"/>
      <c r="H47" s="1358"/>
      <c r="I47" s="1358"/>
      <c r="J47" s="1361"/>
      <c r="K47" s="1357">
        <f t="shared" si="21"/>
        <v>0</v>
      </c>
      <c r="L47" s="1358">
        <f t="shared" si="22"/>
        <v>0</v>
      </c>
      <c r="M47" s="1358">
        <f t="shared" si="23"/>
        <v>0</v>
      </c>
      <c r="N47" s="1359"/>
    </row>
    <row r="48" spans="1:14" ht="23.25" x14ac:dyDescent="0.35">
      <c r="A48" s="102" t="s">
        <v>120</v>
      </c>
      <c r="B48" s="1347" t="s">
        <v>121</v>
      </c>
      <c r="C48" s="1357"/>
      <c r="D48" s="1358">
        <f>'3. Gesz költségvetés'!T46</f>
        <v>1181</v>
      </c>
      <c r="E48" s="1358">
        <f>'3. Gesz költségvetés'!U46</f>
        <v>1181</v>
      </c>
      <c r="F48" s="1359">
        <f t="shared" si="20"/>
        <v>100</v>
      </c>
      <c r="G48" s="1360"/>
      <c r="H48" s="1358"/>
      <c r="I48" s="1358"/>
      <c r="J48" s="1361"/>
      <c r="K48" s="1357">
        <f t="shared" si="21"/>
        <v>0</v>
      </c>
      <c r="L48" s="1358">
        <f t="shared" si="22"/>
        <v>1181</v>
      </c>
      <c r="M48" s="1358">
        <f t="shared" si="23"/>
        <v>1181</v>
      </c>
      <c r="N48" s="1359">
        <f>M48/L48%</f>
        <v>100</v>
      </c>
    </row>
    <row r="49" spans="1:14" ht="46.5" x14ac:dyDescent="0.35">
      <c r="A49" s="102" t="s">
        <v>295</v>
      </c>
      <c r="B49" s="1404" t="s">
        <v>296</v>
      </c>
      <c r="C49" s="1357"/>
      <c r="D49" s="1358"/>
      <c r="E49" s="1358"/>
      <c r="F49" s="1382"/>
      <c r="G49" s="1360"/>
      <c r="H49" s="1358"/>
      <c r="I49" s="1358"/>
      <c r="J49" s="1361"/>
      <c r="K49" s="1357">
        <f t="shared" si="21"/>
        <v>0</v>
      </c>
      <c r="L49" s="1358">
        <f t="shared" si="22"/>
        <v>0</v>
      </c>
      <c r="M49" s="1358">
        <f t="shared" si="23"/>
        <v>0</v>
      </c>
      <c r="N49" s="1382"/>
    </row>
    <row r="50" spans="1:14" ht="46.5" x14ac:dyDescent="0.35">
      <c r="A50" s="102" t="s">
        <v>298</v>
      </c>
      <c r="B50" s="1404" t="s">
        <v>297</v>
      </c>
      <c r="C50" s="1357"/>
      <c r="D50" s="1358"/>
      <c r="E50" s="1358"/>
      <c r="F50" s="1382"/>
      <c r="G50" s="1360"/>
      <c r="H50" s="1358"/>
      <c r="I50" s="1358"/>
      <c r="J50" s="1361"/>
      <c r="K50" s="1357">
        <f t="shared" si="21"/>
        <v>0</v>
      </c>
      <c r="L50" s="1358">
        <f t="shared" si="22"/>
        <v>0</v>
      </c>
      <c r="M50" s="1358">
        <f t="shared" si="23"/>
        <v>0</v>
      </c>
      <c r="N50" s="1382"/>
    </row>
    <row r="51" spans="1:14" ht="23.25" x14ac:dyDescent="0.35">
      <c r="A51" s="102" t="s">
        <v>785</v>
      </c>
      <c r="B51" s="1405" t="s">
        <v>299</v>
      </c>
      <c r="C51" s="1357"/>
      <c r="D51" s="1358"/>
      <c r="E51" s="1358"/>
      <c r="F51" s="1382"/>
      <c r="G51" s="1360"/>
      <c r="H51" s="1358"/>
      <c r="I51" s="1358"/>
      <c r="J51" s="1361"/>
      <c r="K51" s="1357">
        <f t="shared" si="21"/>
        <v>0</v>
      </c>
      <c r="L51" s="1358">
        <f t="shared" si="22"/>
        <v>0</v>
      </c>
      <c r="M51" s="1358">
        <f t="shared" si="23"/>
        <v>0</v>
      </c>
      <c r="N51" s="1382"/>
    </row>
    <row r="52" spans="1:14" ht="23.25" x14ac:dyDescent="0.35">
      <c r="A52" s="102" t="s">
        <v>785</v>
      </c>
      <c r="B52" s="1405" t="s">
        <v>155</v>
      </c>
      <c r="C52" s="1357"/>
      <c r="D52" s="1358"/>
      <c r="E52" s="1358"/>
      <c r="F52" s="1382"/>
      <c r="G52" s="1360"/>
      <c r="H52" s="1358"/>
      <c r="I52" s="1358"/>
      <c r="J52" s="1361"/>
      <c r="K52" s="1357">
        <f t="shared" si="21"/>
        <v>0</v>
      </c>
      <c r="L52" s="1358">
        <f t="shared" si="22"/>
        <v>0</v>
      </c>
      <c r="M52" s="1358">
        <f t="shared" si="23"/>
        <v>0</v>
      </c>
      <c r="N52" s="1382"/>
    </row>
    <row r="53" spans="1:14" ht="23.25" x14ac:dyDescent="0.35">
      <c r="A53" s="102" t="s">
        <v>785</v>
      </c>
      <c r="B53" s="1405" t="s">
        <v>300</v>
      </c>
      <c r="C53" s="1357"/>
      <c r="D53" s="1358"/>
      <c r="E53" s="1358"/>
      <c r="F53" s="1382"/>
      <c r="G53" s="1360"/>
      <c r="H53" s="1358"/>
      <c r="I53" s="1358"/>
      <c r="J53" s="1361"/>
      <c r="K53" s="1357">
        <f t="shared" si="21"/>
        <v>0</v>
      </c>
      <c r="L53" s="1358">
        <f t="shared" si="22"/>
        <v>0</v>
      </c>
      <c r="M53" s="1358">
        <f t="shared" si="23"/>
        <v>0</v>
      </c>
      <c r="N53" s="1382"/>
    </row>
    <row r="54" spans="1:14" s="53" customFormat="1" ht="22.5" x14ac:dyDescent="0.3">
      <c r="A54" s="1260" t="s">
        <v>301</v>
      </c>
      <c r="B54" s="1348" t="s">
        <v>302</v>
      </c>
      <c r="C54" s="1362">
        <f>SUM(C48:C53)</f>
        <v>0</v>
      </c>
      <c r="D54" s="1363">
        <f t="shared" ref="D54:E54" si="24">SUM(D48:D53)</f>
        <v>1181</v>
      </c>
      <c r="E54" s="1363">
        <f t="shared" si="24"/>
        <v>1181</v>
      </c>
      <c r="F54" s="1364">
        <f t="shared" ref="F54" si="25">E54/D54%</f>
        <v>100</v>
      </c>
      <c r="G54" s="1365"/>
      <c r="H54" s="1363"/>
      <c r="I54" s="1363"/>
      <c r="J54" s="1366"/>
      <c r="K54" s="1362">
        <f t="shared" si="21"/>
        <v>0</v>
      </c>
      <c r="L54" s="1363">
        <f t="shared" si="22"/>
        <v>1181</v>
      </c>
      <c r="M54" s="1363">
        <f t="shared" si="23"/>
        <v>1181</v>
      </c>
      <c r="N54" s="1364">
        <f t="shared" ref="N54" si="26">M54/L54%</f>
        <v>100</v>
      </c>
    </row>
    <row r="55" spans="1:14" ht="23.25" x14ac:dyDescent="0.35">
      <c r="A55" s="102" t="s">
        <v>303</v>
      </c>
      <c r="B55" s="1406" t="s">
        <v>446</v>
      </c>
      <c r="C55" s="1357">
        <v>216</v>
      </c>
      <c r="D55" s="1358">
        <f>'3. Gesz költségvetés'!T48</f>
        <v>1076</v>
      </c>
      <c r="E55" s="1358">
        <f>'3. Gesz költségvetés'!U48</f>
        <v>1076</v>
      </c>
      <c r="F55" s="1359">
        <f>E55/D55%</f>
        <v>100</v>
      </c>
      <c r="G55" s="1360"/>
      <c r="H55" s="1358"/>
      <c r="I55" s="1358"/>
      <c r="J55" s="1361"/>
      <c r="K55" s="1357">
        <f t="shared" si="21"/>
        <v>216</v>
      </c>
      <c r="L55" s="1358">
        <f t="shared" si="22"/>
        <v>1076</v>
      </c>
      <c r="M55" s="1358">
        <f t="shared" si="23"/>
        <v>1076</v>
      </c>
      <c r="N55" s="1359">
        <f>M55/L55%</f>
        <v>100</v>
      </c>
    </row>
    <row r="56" spans="1:14" ht="23.25" x14ac:dyDescent="0.35">
      <c r="A56" s="102" t="s">
        <v>304</v>
      </c>
      <c r="B56" s="1347" t="s">
        <v>305</v>
      </c>
      <c r="C56" s="1357"/>
      <c r="D56" s="1358"/>
      <c r="E56" s="1358"/>
      <c r="F56" s="1382"/>
      <c r="G56" s="1360"/>
      <c r="H56" s="1358"/>
      <c r="I56" s="1358"/>
      <c r="J56" s="1361"/>
      <c r="K56" s="1357">
        <f t="shared" si="21"/>
        <v>0</v>
      </c>
      <c r="L56" s="1358">
        <f t="shared" si="22"/>
        <v>0</v>
      </c>
      <c r="M56" s="1358">
        <f t="shared" si="23"/>
        <v>0</v>
      </c>
      <c r="N56" s="1382"/>
    </row>
    <row r="57" spans="1:14" ht="46.5" x14ac:dyDescent="0.35">
      <c r="A57" s="102" t="s">
        <v>251</v>
      </c>
      <c r="B57" s="1347" t="s">
        <v>154</v>
      </c>
      <c r="C57" s="1357"/>
      <c r="D57" s="1358"/>
      <c r="E57" s="1358"/>
      <c r="F57" s="1382"/>
      <c r="G57" s="1360"/>
      <c r="H57" s="1358"/>
      <c r="I57" s="1358"/>
      <c r="J57" s="1361"/>
      <c r="K57" s="1357">
        <f t="shared" si="21"/>
        <v>0</v>
      </c>
      <c r="L57" s="1358">
        <f t="shared" si="22"/>
        <v>0</v>
      </c>
      <c r="M57" s="1358">
        <f t="shared" si="23"/>
        <v>0</v>
      </c>
      <c r="N57" s="1382"/>
    </row>
    <row r="58" spans="1:14" ht="46.5" x14ac:dyDescent="0.35">
      <c r="A58" s="102" t="s">
        <v>306</v>
      </c>
      <c r="B58" s="1347" t="s">
        <v>307</v>
      </c>
      <c r="C58" s="1357"/>
      <c r="D58" s="1358"/>
      <c r="E58" s="1358"/>
      <c r="F58" s="1382"/>
      <c r="G58" s="1360"/>
      <c r="H58" s="1358"/>
      <c r="I58" s="1358"/>
      <c r="J58" s="1361"/>
      <c r="K58" s="1357">
        <f t="shared" si="21"/>
        <v>0</v>
      </c>
      <c r="L58" s="1358">
        <f t="shared" si="22"/>
        <v>0</v>
      </c>
      <c r="M58" s="1358">
        <f t="shared" si="23"/>
        <v>0</v>
      </c>
      <c r="N58" s="1382"/>
    </row>
    <row r="59" spans="1:14" ht="23.25" x14ac:dyDescent="0.35">
      <c r="A59" s="102" t="s">
        <v>308</v>
      </c>
      <c r="B59" s="1347" t="s">
        <v>309</v>
      </c>
      <c r="C59" s="1357"/>
      <c r="D59" s="1358"/>
      <c r="E59" s="1358"/>
      <c r="F59" s="1382"/>
      <c r="G59" s="1360"/>
      <c r="H59" s="1358"/>
      <c r="I59" s="1358"/>
      <c r="J59" s="1361"/>
      <c r="K59" s="1357">
        <f t="shared" si="21"/>
        <v>0</v>
      </c>
      <c r="L59" s="1358">
        <f t="shared" si="22"/>
        <v>0</v>
      </c>
      <c r="M59" s="1358">
        <f t="shared" si="23"/>
        <v>0</v>
      </c>
      <c r="N59" s="1382"/>
    </row>
    <row r="60" spans="1:14" ht="23.25" x14ac:dyDescent="0.35">
      <c r="A60" s="117"/>
      <c r="B60" s="1407" t="s">
        <v>324</v>
      </c>
      <c r="C60" s="1814">
        <f>SUM(C44:C54)</f>
        <v>37841</v>
      </c>
      <c r="D60" s="1434">
        <f>SUM(D44:D53)</f>
        <v>38372</v>
      </c>
      <c r="E60" s="1434">
        <f>SUM(E44:E53)</f>
        <v>33559</v>
      </c>
      <c r="F60" s="1816">
        <f t="shared" ref="F60:F62" si="27">E60/D60%</f>
        <v>87.45699989575732</v>
      </c>
      <c r="G60" s="1813">
        <f>SUM(G44:G54)</f>
        <v>0</v>
      </c>
      <c r="H60" s="1434">
        <f t="shared" ref="H60:I60" si="28">SUM(H44:H54)</f>
        <v>0</v>
      </c>
      <c r="I60" s="1434">
        <f t="shared" si="28"/>
        <v>0</v>
      </c>
      <c r="J60" s="1815"/>
      <c r="K60" s="1814">
        <f t="shared" si="21"/>
        <v>37841</v>
      </c>
      <c r="L60" s="1434">
        <f t="shared" si="22"/>
        <v>38372</v>
      </c>
      <c r="M60" s="1434">
        <f t="shared" si="23"/>
        <v>33559</v>
      </c>
      <c r="N60" s="1816">
        <f t="shared" ref="N60:N62" si="29">M60/L60%</f>
        <v>87.45699989575732</v>
      </c>
    </row>
    <row r="61" spans="1:14" ht="23.25" x14ac:dyDescent="0.35">
      <c r="A61" s="117"/>
      <c r="B61" s="1407" t="s">
        <v>325</v>
      </c>
      <c r="C61" s="1814">
        <f>SUM(C55:C59)</f>
        <v>216</v>
      </c>
      <c r="D61" s="1434">
        <f t="shared" ref="D61:E61" si="30">SUM(D55:D59)</f>
        <v>1076</v>
      </c>
      <c r="E61" s="1434">
        <f t="shared" si="30"/>
        <v>1076</v>
      </c>
      <c r="F61" s="1816">
        <f t="shared" si="27"/>
        <v>100</v>
      </c>
      <c r="G61" s="1813">
        <f>SUM(G55:G59)</f>
        <v>0</v>
      </c>
      <c r="H61" s="1434">
        <f t="shared" ref="H61:I61" si="31">SUM(H55:H59)</f>
        <v>0</v>
      </c>
      <c r="I61" s="1434">
        <f t="shared" si="31"/>
        <v>0</v>
      </c>
      <c r="J61" s="1815"/>
      <c r="K61" s="1814">
        <f t="shared" si="21"/>
        <v>216</v>
      </c>
      <c r="L61" s="1434">
        <f t="shared" si="22"/>
        <v>1076</v>
      </c>
      <c r="M61" s="1434">
        <f t="shared" si="23"/>
        <v>1076</v>
      </c>
      <c r="N61" s="1816">
        <f t="shared" si="29"/>
        <v>100</v>
      </c>
    </row>
    <row r="62" spans="1:14" ht="22.5" x14ac:dyDescent="0.3">
      <c r="A62" s="106" t="s">
        <v>310</v>
      </c>
      <c r="B62" s="1350" t="s">
        <v>311</v>
      </c>
      <c r="C62" s="1372">
        <f>SUM(C60:C61)</f>
        <v>38057</v>
      </c>
      <c r="D62" s="1373">
        <f t="shared" ref="D62:E62" si="32">SUM(D60:D61)</f>
        <v>39448</v>
      </c>
      <c r="E62" s="1373">
        <f t="shared" si="32"/>
        <v>34635</v>
      </c>
      <c r="F62" s="1374">
        <f t="shared" si="27"/>
        <v>87.799127965929827</v>
      </c>
      <c r="G62" s="1375">
        <f>SUM(G60:G61)</f>
        <v>0</v>
      </c>
      <c r="H62" s="1373">
        <f t="shared" ref="H62:I62" si="33">SUM(H60:H61)</f>
        <v>0</v>
      </c>
      <c r="I62" s="1373">
        <f t="shared" si="33"/>
        <v>0</v>
      </c>
      <c r="J62" s="1376"/>
      <c r="K62" s="1372">
        <f t="shared" si="21"/>
        <v>38057</v>
      </c>
      <c r="L62" s="1373">
        <f t="shared" si="22"/>
        <v>39448</v>
      </c>
      <c r="M62" s="1373">
        <f t="shared" si="23"/>
        <v>34635</v>
      </c>
      <c r="N62" s="1374">
        <f t="shared" si="29"/>
        <v>87.799127965929827</v>
      </c>
    </row>
    <row r="63" spans="1:14" ht="23.25" x14ac:dyDescent="0.2">
      <c r="A63" s="107" t="s">
        <v>312</v>
      </c>
      <c r="B63" s="1347" t="s">
        <v>252</v>
      </c>
      <c r="C63" s="1392"/>
      <c r="D63" s="1393"/>
      <c r="E63" s="1393"/>
      <c r="F63" s="1394"/>
      <c r="G63" s="1395"/>
      <c r="H63" s="1393"/>
      <c r="I63" s="1393"/>
      <c r="J63" s="1396"/>
      <c r="K63" s="1392">
        <f t="shared" si="21"/>
        <v>0</v>
      </c>
      <c r="L63" s="1393">
        <f t="shared" si="22"/>
        <v>0</v>
      </c>
      <c r="M63" s="1393">
        <f t="shared" si="23"/>
        <v>0</v>
      </c>
      <c r="N63" s="1394"/>
    </row>
    <row r="64" spans="1:14" ht="23.25" x14ac:dyDescent="0.2">
      <c r="A64" s="107" t="s">
        <v>326</v>
      </c>
      <c r="B64" s="1347" t="s">
        <v>327</v>
      </c>
      <c r="C64" s="930"/>
      <c r="D64" s="525"/>
      <c r="E64" s="525"/>
      <c r="F64" s="1397"/>
      <c r="G64" s="924"/>
      <c r="H64" s="525"/>
      <c r="I64" s="525"/>
      <c r="J64" s="918"/>
      <c r="K64" s="930">
        <f t="shared" si="21"/>
        <v>0</v>
      </c>
      <c r="L64" s="525">
        <f t="shared" si="22"/>
        <v>0</v>
      </c>
      <c r="M64" s="525">
        <f t="shared" si="23"/>
        <v>0</v>
      </c>
      <c r="N64" s="1397"/>
    </row>
    <row r="65" spans="1:14" ht="22.5" x14ac:dyDescent="0.3">
      <c r="A65" s="116" t="s">
        <v>322</v>
      </c>
      <c r="B65" s="1352" t="s">
        <v>42</v>
      </c>
      <c r="C65" s="1372">
        <f>SUM(C63:C64)</f>
        <v>0</v>
      </c>
      <c r="D65" s="1373"/>
      <c r="E65" s="1373"/>
      <c r="F65" s="1374"/>
      <c r="G65" s="1375">
        <f>SUM(G63:G64)</f>
        <v>0</v>
      </c>
      <c r="H65" s="1373">
        <f t="shared" ref="H65:I65" si="34">SUM(H63:H64)</f>
        <v>0</v>
      </c>
      <c r="I65" s="1373">
        <f t="shared" si="34"/>
        <v>0</v>
      </c>
      <c r="J65" s="1376"/>
      <c r="K65" s="1372">
        <f t="shared" si="21"/>
        <v>0</v>
      </c>
      <c r="L65" s="1373">
        <f t="shared" si="22"/>
        <v>0</v>
      </c>
      <c r="M65" s="1373">
        <f t="shared" si="23"/>
        <v>0</v>
      </c>
      <c r="N65" s="1374"/>
    </row>
    <row r="66" spans="1:14" ht="23.25" thickBot="1" x14ac:dyDescent="0.35">
      <c r="A66" s="118"/>
      <c r="B66" s="1353" t="s">
        <v>346</v>
      </c>
      <c r="C66" s="1383">
        <f>C62+C65</f>
        <v>38057</v>
      </c>
      <c r="D66" s="1384">
        <f t="shared" ref="D66:E66" si="35">D62+D65</f>
        <v>39448</v>
      </c>
      <c r="E66" s="1384">
        <f t="shared" si="35"/>
        <v>34635</v>
      </c>
      <c r="F66" s="1385">
        <f>E66/D66%</f>
        <v>87.799127965929827</v>
      </c>
      <c r="G66" s="1386">
        <f>G62+G65</f>
        <v>0</v>
      </c>
      <c r="H66" s="1384">
        <f t="shared" ref="H66:I66" si="36">H62+H65</f>
        <v>0</v>
      </c>
      <c r="I66" s="1384">
        <f t="shared" si="36"/>
        <v>0</v>
      </c>
      <c r="J66" s="1387"/>
      <c r="K66" s="1383">
        <f t="shared" si="21"/>
        <v>38057</v>
      </c>
      <c r="L66" s="1384">
        <f t="shared" si="22"/>
        <v>39448</v>
      </c>
      <c r="M66" s="1384">
        <f t="shared" si="23"/>
        <v>34635</v>
      </c>
      <c r="N66" s="1385">
        <f>M66/L66%</f>
        <v>87.799127965929827</v>
      </c>
    </row>
    <row r="68" spans="1:14" ht="15" customHeight="1" x14ac:dyDescent="0.2">
      <c r="K68" s="483"/>
      <c r="L68" s="483"/>
      <c r="M68" s="483"/>
      <c r="N68" s="483"/>
    </row>
    <row r="69" spans="1:14" ht="15" customHeight="1" x14ac:dyDescent="0.2">
      <c r="K69" s="483"/>
      <c r="L69" s="483"/>
      <c r="M69" s="483"/>
      <c r="N69" s="483"/>
    </row>
    <row r="70" spans="1:14" ht="15" customHeight="1" x14ac:dyDescent="0.2">
      <c r="M70" s="483"/>
    </row>
    <row r="71" spans="1:14" ht="15" customHeight="1" x14ac:dyDescent="0.2">
      <c r="M71" s="483"/>
    </row>
  </sheetData>
  <mergeCells count="13">
    <mergeCell ref="A1:N1"/>
    <mergeCell ref="A2:N2"/>
    <mergeCell ref="A4:N4"/>
    <mergeCell ref="A42:A43"/>
    <mergeCell ref="B42:B43"/>
    <mergeCell ref="C42:F42"/>
    <mergeCell ref="G42:J42"/>
    <mergeCell ref="K42:N42"/>
    <mergeCell ref="A7:A8"/>
    <mergeCell ref="B7:B8"/>
    <mergeCell ref="C7:F7"/>
    <mergeCell ref="G7:J7"/>
    <mergeCell ref="K7:N7"/>
  </mergeCells>
  <printOptions horizontalCentered="1"/>
  <pageMargins left="0.31496062992125984" right="0.27559055118110237" top="0.27559055118110237" bottom="0.31496062992125984" header="0.51181102362204722" footer="0.15748031496062992"/>
  <pageSetup paperSize="9" scale="3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70"/>
  <sheetViews>
    <sheetView view="pageBreakPreview" zoomScale="80" zoomScaleSheetLayoutView="80" workbookViewId="0">
      <selection activeCell="A2" sqref="A2:O2"/>
    </sheetView>
  </sheetViews>
  <sheetFormatPr defaultRowHeight="15" customHeight="1" x14ac:dyDescent="0.2"/>
  <cols>
    <col min="1" max="1" width="13" style="97" customWidth="1"/>
    <col min="2" max="2" width="74.5703125" style="97" customWidth="1"/>
    <col min="3" max="3" width="19" style="97" customWidth="1"/>
    <col min="4" max="4" width="21" style="97" customWidth="1"/>
    <col min="5" max="5" width="16.7109375" style="97" customWidth="1"/>
    <col min="6" max="6" width="12.5703125" style="97" customWidth="1"/>
    <col min="7" max="7" width="19.28515625" style="97" customWidth="1"/>
    <col min="8" max="8" width="20.5703125" style="97" customWidth="1"/>
    <col min="9" max="9" width="18.5703125" style="97" customWidth="1"/>
    <col min="10" max="10" width="13" style="97" customWidth="1"/>
    <col min="11" max="12" width="18" style="97" customWidth="1"/>
    <col min="13" max="13" width="19.42578125" style="97" customWidth="1"/>
    <col min="14" max="14" width="15.140625" style="97" customWidth="1"/>
    <col min="15" max="16384" width="9.140625" style="97"/>
  </cols>
  <sheetData>
    <row r="1" spans="1:14" ht="26.25" x14ac:dyDescent="0.4">
      <c r="A1" s="2442" t="str">
        <f>'10.GESZ'!A1:K1</f>
        <v>Pilisvörösvár Város Önkormányzata Képviselő-testületének 7/2018. (IV. 27.) önkormányzati rendelete</v>
      </c>
      <c r="B1" s="2442"/>
      <c r="C1" s="2442"/>
      <c r="D1" s="2442"/>
      <c r="E1" s="2442"/>
      <c r="F1" s="2442"/>
      <c r="G1" s="2442"/>
      <c r="H1" s="2442"/>
      <c r="I1" s="2442"/>
      <c r="J1" s="2442"/>
      <c r="K1" s="2442"/>
      <c r="L1" s="2443"/>
      <c r="M1" s="2443"/>
      <c r="N1" s="2443"/>
    </row>
    <row r="2" spans="1:14" ht="26.25" x14ac:dyDescent="0.4">
      <c r="A2" s="2442" t="str">
        <f>'10.GESZ'!A2:K2</f>
        <v>az Önkormányzat  2017. évi zárszámadásáról</v>
      </c>
      <c r="B2" s="2442"/>
      <c r="C2" s="2442"/>
      <c r="D2" s="2442"/>
      <c r="E2" s="2442"/>
      <c r="F2" s="2442"/>
      <c r="G2" s="2442"/>
      <c r="H2" s="2442"/>
      <c r="I2" s="2442"/>
      <c r="J2" s="2442"/>
      <c r="K2" s="2442"/>
      <c r="L2" s="2443"/>
      <c r="M2" s="2443"/>
      <c r="N2" s="2443"/>
    </row>
    <row r="3" spans="1:14" ht="15" customHeight="1" x14ac:dyDescent="0.4">
      <c r="A3" s="1493"/>
      <c r="B3" s="1493"/>
      <c r="C3" s="1493"/>
      <c r="D3" s="1493"/>
      <c r="E3" s="1493"/>
      <c r="F3" s="1493"/>
      <c r="G3" s="1493"/>
      <c r="H3" s="1493"/>
      <c r="I3" s="1493"/>
      <c r="J3" s="1493"/>
      <c r="K3" s="1493"/>
      <c r="L3" s="1493"/>
      <c r="M3" s="1493"/>
      <c r="N3" s="1493"/>
    </row>
    <row r="4" spans="1:14" ht="26.25" x14ac:dyDescent="0.4">
      <c r="A4" s="2442" t="str">
        <f>Tartalomjegyzék_2017!B18</f>
        <v>Pilisvörösvár Tipegő Bölcsőde költségvetése kötelező és önként vállalt feladat szerinti bontásban</v>
      </c>
      <c r="B4" s="2442"/>
      <c r="C4" s="2442"/>
      <c r="D4" s="2442"/>
      <c r="E4" s="2442"/>
      <c r="F4" s="2442"/>
      <c r="G4" s="2442"/>
      <c r="H4" s="2442"/>
      <c r="I4" s="2442"/>
      <c r="J4" s="2442"/>
      <c r="K4" s="2442"/>
      <c r="L4" s="2443"/>
      <c r="M4" s="2443"/>
      <c r="N4" s="2443"/>
    </row>
    <row r="5" spans="1:14" ht="26.25" x14ac:dyDescent="0.4">
      <c r="A5" s="1493"/>
      <c r="B5" s="1493"/>
      <c r="C5" s="1493"/>
      <c r="D5" s="1493"/>
      <c r="E5" s="1493"/>
      <c r="F5" s="1493"/>
      <c r="G5" s="1493"/>
      <c r="H5" s="1493"/>
      <c r="I5" s="1493"/>
      <c r="J5" s="1493"/>
      <c r="K5" s="1493"/>
      <c r="L5" s="1497"/>
      <c r="M5" s="1497"/>
      <c r="N5" s="1497" t="s">
        <v>360</v>
      </c>
    </row>
    <row r="6" spans="1:14" ht="27" thickBot="1" x14ac:dyDescent="0.45">
      <c r="A6" s="1493"/>
      <c r="B6" s="1493"/>
      <c r="C6" s="1493"/>
      <c r="D6" s="1493"/>
      <c r="E6" s="1493"/>
      <c r="F6" s="1493"/>
      <c r="G6" s="1493"/>
      <c r="H6" s="1493"/>
      <c r="I6" s="1493"/>
      <c r="J6" s="1493"/>
      <c r="K6" s="1493"/>
      <c r="L6" s="1497"/>
      <c r="M6" s="1497"/>
      <c r="N6" s="1497" t="s">
        <v>323</v>
      </c>
    </row>
    <row r="7" spans="1:14" s="1341" customFormat="1" ht="23.25" customHeight="1" x14ac:dyDescent="0.35">
      <c r="A7" s="2419" t="s">
        <v>364</v>
      </c>
      <c r="B7" s="2444" t="s">
        <v>799</v>
      </c>
      <c r="C7" s="2446" t="s">
        <v>152</v>
      </c>
      <c r="D7" s="2447"/>
      <c r="E7" s="2447"/>
      <c r="F7" s="2448"/>
      <c r="G7" s="2449" t="s">
        <v>1107</v>
      </c>
      <c r="H7" s="2447"/>
      <c r="I7" s="2447"/>
      <c r="J7" s="2450"/>
      <c r="K7" s="2446" t="s">
        <v>444</v>
      </c>
      <c r="L7" s="2447"/>
      <c r="M7" s="2447"/>
      <c r="N7" s="2448"/>
    </row>
    <row r="8" spans="1:14" s="855" customFormat="1" ht="101.25" x14ac:dyDescent="0.3">
      <c r="A8" s="2431"/>
      <c r="B8" s="2445" t="s">
        <v>799</v>
      </c>
      <c r="C8" s="1317" t="s">
        <v>1101</v>
      </c>
      <c r="D8" s="1318" t="s">
        <v>1102</v>
      </c>
      <c r="E8" s="1318" t="s">
        <v>1103</v>
      </c>
      <c r="F8" s="1319" t="s">
        <v>1084</v>
      </c>
      <c r="G8" s="1320" t="s">
        <v>1104</v>
      </c>
      <c r="H8" s="1318" t="s">
        <v>1105</v>
      </c>
      <c r="I8" s="1318" t="s">
        <v>1106</v>
      </c>
      <c r="J8" s="1321" t="s">
        <v>1084</v>
      </c>
      <c r="K8" s="2162" t="s">
        <v>1007</v>
      </c>
      <c r="L8" s="1318" t="s">
        <v>1069</v>
      </c>
      <c r="M8" s="1318" t="s">
        <v>1108</v>
      </c>
      <c r="N8" s="1319" t="s">
        <v>1084</v>
      </c>
    </row>
    <row r="9" spans="1:14" s="53" customFormat="1" ht="23.25" x14ac:dyDescent="0.35">
      <c r="A9" s="105" t="s">
        <v>374</v>
      </c>
      <c r="B9" s="1344" t="s">
        <v>373</v>
      </c>
      <c r="C9" s="1357"/>
      <c r="D9" s="1358"/>
      <c r="E9" s="1358"/>
      <c r="F9" s="1382"/>
      <c r="G9" s="1360"/>
      <c r="H9" s="1358"/>
      <c r="I9" s="1358"/>
      <c r="J9" s="1361"/>
      <c r="K9" s="1357">
        <f>C9+G9</f>
        <v>0</v>
      </c>
      <c r="L9" s="1358">
        <f t="shared" ref="L9:M9" si="0">D9+H9</f>
        <v>0</v>
      </c>
      <c r="M9" s="1358">
        <f t="shared" si="0"/>
        <v>0</v>
      </c>
      <c r="N9" s="1382"/>
    </row>
    <row r="10" spans="1:14" s="53" customFormat="1" ht="46.5" x14ac:dyDescent="0.35">
      <c r="A10" s="105" t="s">
        <v>376</v>
      </c>
      <c r="B10" s="1344" t="s">
        <v>375</v>
      </c>
      <c r="C10" s="1357"/>
      <c r="D10" s="1358"/>
      <c r="E10" s="1358"/>
      <c r="F10" s="1382"/>
      <c r="G10" s="1360"/>
      <c r="H10" s="1358"/>
      <c r="I10" s="1358"/>
      <c r="J10" s="1361"/>
      <c r="K10" s="1357">
        <f t="shared" ref="K10:K40" si="1">C10+G10</f>
        <v>0</v>
      </c>
      <c r="L10" s="1358">
        <f t="shared" ref="L10:L40" si="2">D10+H10</f>
        <v>0</v>
      </c>
      <c r="M10" s="1358">
        <f t="shared" ref="M10:M40" si="3">E10+I10</f>
        <v>0</v>
      </c>
      <c r="N10" s="1382"/>
    </row>
    <row r="11" spans="1:14" s="53" customFormat="1" ht="45" x14ac:dyDescent="0.35">
      <c r="A11" s="109" t="s">
        <v>378</v>
      </c>
      <c r="B11" s="1345" t="s">
        <v>377</v>
      </c>
      <c r="C11" s="1362"/>
      <c r="D11" s="1363"/>
      <c r="E11" s="1363"/>
      <c r="F11" s="1439"/>
      <c r="G11" s="1365"/>
      <c r="H11" s="1363"/>
      <c r="I11" s="1363"/>
      <c r="J11" s="1366"/>
      <c r="K11" s="1357">
        <f t="shared" si="1"/>
        <v>0</v>
      </c>
      <c r="L11" s="1358">
        <f t="shared" si="2"/>
        <v>0</v>
      </c>
      <c r="M11" s="1358">
        <f t="shared" si="3"/>
        <v>0</v>
      </c>
      <c r="N11" s="1382"/>
    </row>
    <row r="12" spans="1:14" ht="45" x14ac:dyDescent="0.35">
      <c r="A12" s="109" t="s">
        <v>382</v>
      </c>
      <c r="B12" s="1345" t="s">
        <v>381</v>
      </c>
      <c r="C12" s="1362"/>
      <c r="D12" s="1363"/>
      <c r="E12" s="1363"/>
      <c r="F12" s="1439"/>
      <c r="G12" s="1365"/>
      <c r="H12" s="1363"/>
      <c r="I12" s="1363"/>
      <c r="J12" s="1366"/>
      <c r="K12" s="1357">
        <f t="shared" si="1"/>
        <v>0</v>
      </c>
      <c r="L12" s="1358">
        <f t="shared" si="2"/>
        <v>0</v>
      </c>
      <c r="M12" s="1358">
        <f t="shared" si="3"/>
        <v>0</v>
      </c>
      <c r="N12" s="1382"/>
    </row>
    <row r="13" spans="1:14" ht="46.5" x14ac:dyDescent="0.35">
      <c r="A13" s="484" t="s">
        <v>146</v>
      </c>
      <c r="B13" s="1346" t="s">
        <v>157</v>
      </c>
      <c r="C13" s="1362"/>
      <c r="D13" s="1363"/>
      <c r="E13" s="1363"/>
      <c r="F13" s="1439"/>
      <c r="G13" s="1365"/>
      <c r="H13" s="1363"/>
      <c r="I13" s="1363"/>
      <c r="J13" s="1366"/>
      <c r="K13" s="1357">
        <f t="shared" si="1"/>
        <v>0</v>
      </c>
      <c r="L13" s="1358">
        <f t="shared" si="2"/>
        <v>0</v>
      </c>
      <c r="M13" s="1358">
        <f t="shared" si="3"/>
        <v>0</v>
      </c>
      <c r="N13" s="1382"/>
    </row>
    <row r="14" spans="1:14" s="53" customFormat="1" ht="46.5" x14ac:dyDescent="0.35">
      <c r="A14" s="105" t="s">
        <v>103</v>
      </c>
      <c r="B14" s="1344" t="s">
        <v>156</v>
      </c>
      <c r="C14" s="1357"/>
      <c r="D14" s="1358"/>
      <c r="E14" s="1358"/>
      <c r="F14" s="1382"/>
      <c r="G14" s="1360"/>
      <c r="H14" s="1358"/>
      <c r="I14" s="1358"/>
      <c r="J14" s="1361"/>
      <c r="K14" s="1357">
        <f t="shared" si="1"/>
        <v>0</v>
      </c>
      <c r="L14" s="1358">
        <f t="shared" si="2"/>
        <v>0</v>
      </c>
      <c r="M14" s="1358">
        <f t="shared" si="3"/>
        <v>0</v>
      </c>
      <c r="N14" s="1382"/>
    </row>
    <row r="15" spans="1:14" s="53" customFormat="1" ht="23.25" x14ac:dyDescent="0.35">
      <c r="A15" s="105" t="s">
        <v>385</v>
      </c>
      <c r="B15" s="1344" t="s">
        <v>153</v>
      </c>
      <c r="C15" s="1357"/>
      <c r="D15" s="1358"/>
      <c r="E15" s="1358"/>
      <c r="F15" s="1382"/>
      <c r="G15" s="1360"/>
      <c r="H15" s="1358"/>
      <c r="I15" s="1358"/>
      <c r="J15" s="1361"/>
      <c r="K15" s="1357">
        <f t="shared" si="1"/>
        <v>0</v>
      </c>
      <c r="L15" s="1358">
        <f t="shared" si="2"/>
        <v>0</v>
      </c>
      <c r="M15" s="1358">
        <f t="shared" si="3"/>
        <v>0</v>
      </c>
      <c r="N15" s="1382"/>
    </row>
    <row r="16" spans="1:14" s="53" customFormat="1" ht="23.25" x14ac:dyDescent="0.35">
      <c r="A16" s="109" t="s">
        <v>387</v>
      </c>
      <c r="B16" s="1345" t="s">
        <v>386</v>
      </c>
      <c r="C16" s="1362"/>
      <c r="D16" s="1363"/>
      <c r="E16" s="1363"/>
      <c r="F16" s="1439"/>
      <c r="G16" s="1365"/>
      <c r="H16" s="1363"/>
      <c r="I16" s="1363"/>
      <c r="J16" s="1366"/>
      <c r="K16" s="1357">
        <f t="shared" si="1"/>
        <v>0</v>
      </c>
      <c r="L16" s="1358">
        <f t="shared" si="2"/>
        <v>0</v>
      </c>
      <c r="M16" s="1358">
        <f t="shared" si="3"/>
        <v>0</v>
      </c>
      <c r="N16" s="1382"/>
    </row>
    <row r="17" spans="1:14" s="53" customFormat="1" ht="23.25" x14ac:dyDescent="0.35">
      <c r="A17" s="105" t="s">
        <v>114</v>
      </c>
      <c r="B17" s="1347" t="s">
        <v>388</v>
      </c>
      <c r="C17" s="1357"/>
      <c r="D17" s="1358"/>
      <c r="E17" s="1358"/>
      <c r="F17" s="1382"/>
      <c r="G17" s="1360"/>
      <c r="H17" s="1358"/>
      <c r="I17" s="1358"/>
      <c r="J17" s="1361"/>
      <c r="K17" s="1357">
        <f t="shared" si="1"/>
        <v>0</v>
      </c>
      <c r="L17" s="1358">
        <f t="shared" si="2"/>
        <v>0</v>
      </c>
      <c r="M17" s="1358">
        <f t="shared" si="3"/>
        <v>0</v>
      </c>
      <c r="N17" s="1382"/>
    </row>
    <row r="18" spans="1:14" s="53" customFormat="1" ht="23.25" x14ac:dyDescent="0.35">
      <c r="A18" s="105" t="s">
        <v>113</v>
      </c>
      <c r="B18" s="1344" t="s">
        <v>116</v>
      </c>
      <c r="C18" s="1357"/>
      <c r="D18" s="1358">
        <f>'3. Gesz költségvetés'!Y20</f>
        <v>37</v>
      </c>
      <c r="E18" s="1358">
        <f>'3. Gesz költségvetés'!Z20</f>
        <v>37</v>
      </c>
      <c r="F18" s="1359">
        <f>E18/D18%</f>
        <v>100</v>
      </c>
      <c r="G18" s="1360"/>
      <c r="H18" s="1358"/>
      <c r="I18" s="1358"/>
      <c r="J18" s="1361"/>
      <c r="K18" s="1357">
        <f t="shared" si="1"/>
        <v>0</v>
      </c>
      <c r="L18" s="1358">
        <f t="shared" si="2"/>
        <v>37</v>
      </c>
      <c r="M18" s="1358">
        <f t="shared" si="3"/>
        <v>37</v>
      </c>
      <c r="N18" s="1359">
        <f>M18/L18%</f>
        <v>100</v>
      </c>
    </row>
    <row r="19" spans="1:14" s="53" customFormat="1" ht="46.5" x14ac:dyDescent="0.35">
      <c r="A19" s="105" t="s">
        <v>112</v>
      </c>
      <c r="B19" s="1344" t="s">
        <v>107</v>
      </c>
      <c r="C19" s="1357"/>
      <c r="D19" s="1358"/>
      <c r="E19" s="1358"/>
      <c r="F19" s="1359"/>
      <c r="G19" s="1360"/>
      <c r="H19" s="1358"/>
      <c r="I19" s="1358"/>
      <c r="J19" s="1361"/>
      <c r="K19" s="1357">
        <f t="shared" si="1"/>
        <v>0</v>
      </c>
      <c r="L19" s="1358">
        <f t="shared" si="2"/>
        <v>0</v>
      </c>
      <c r="M19" s="1358">
        <f t="shared" si="3"/>
        <v>0</v>
      </c>
      <c r="N19" s="1359"/>
    </row>
    <row r="20" spans="1:14" s="53" customFormat="1" ht="23.25" x14ac:dyDescent="0.35">
      <c r="A20" s="105" t="s">
        <v>395</v>
      </c>
      <c r="B20" s="1344" t="s">
        <v>394</v>
      </c>
      <c r="C20" s="1357"/>
      <c r="D20" s="1358"/>
      <c r="E20" s="1358"/>
      <c r="F20" s="1359"/>
      <c r="G20" s="1360"/>
      <c r="H20" s="1358"/>
      <c r="I20" s="1358"/>
      <c r="J20" s="1361"/>
      <c r="K20" s="1357">
        <f t="shared" si="1"/>
        <v>0</v>
      </c>
      <c r="L20" s="1358">
        <f t="shared" si="2"/>
        <v>0</v>
      </c>
      <c r="M20" s="1358">
        <f t="shared" si="3"/>
        <v>0</v>
      </c>
      <c r="N20" s="1359"/>
    </row>
    <row r="21" spans="1:14" s="53" customFormat="1" ht="23.25" x14ac:dyDescent="0.35">
      <c r="A21" s="105" t="s">
        <v>397</v>
      </c>
      <c r="B21" s="1344" t="s">
        <v>396</v>
      </c>
      <c r="C21" s="1357">
        <v>2512</v>
      </c>
      <c r="D21" s="1358">
        <f>'3. Gesz költségvetés'!Y21</f>
        <v>2878</v>
      </c>
      <c r="E21" s="1358">
        <f>'3. Gesz költségvetés'!Z21</f>
        <v>2878</v>
      </c>
      <c r="F21" s="1359">
        <f>E21/D21%</f>
        <v>100</v>
      </c>
      <c r="G21" s="1360"/>
      <c r="H21" s="1358"/>
      <c r="I21" s="1358"/>
      <c r="J21" s="1361"/>
      <c r="K21" s="1357">
        <f t="shared" si="1"/>
        <v>2512</v>
      </c>
      <c r="L21" s="1358">
        <f t="shared" si="2"/>
        <v>2878</v>
      </c>
      <c r="M21" s="1358">
        <f t="shared" si="3"/>
        <v>2878</v>
      </c>
      <c r="N21" s="1359">
        <f>M21/L21%</f>
        <v>100</v>
      </c>
    </row>
    <row r="22" spans="1:14" s="53" customFormat="1" ht="23.25" x14ac:dyDescent="0.35">
      <c r="A22" s="105" t="s">
        <v>401</v>
      </c>
      <c r="B22" s="1344" t="s">
        <v>400</v>
      </c>
      <c r="C22" s="1357"/>
      <c r="D22" s="1358"/>
      <c r="E22" s="1358"/>
      <c r="F22" s="1359"/>
      <c r="G22" s="1360"/>
      <c r="H22" s="1358"/>
      <c r="I22" s="1358"/>
      <c r="J22" s="1361"/>
      <c r="K22" s="1357">
        <f t="shared" si="1"/>
        <v>0</v>
      </c>
      <c r="L22" s="1358">
        <f t="shared" si="2"/>
        <v>0</v>
      </c>
      <c r="M22" s="1358">
        <f t="shared" si="3"/>
        <v>0</v>
      </c>
      <c r="N22" s="1359"/>
    </row>
    <row r="23" spans="1:14" s="53" customFormat="1" ht="23.25" x14ac:dyDescent="0.35">
      <c r="A23" s="109" t="s">
        <v>403</v>
      </c>
      <c r="B23" s="1348" t="s">
        <v>402</v>
      </c>
      <c r="C23" s="1362">
        <f>SUM(C17:C22)</f>
        <v>2512</v>
      </c>
      <c r="D23" s="1363">
        <f t="shared" ref="D23:E23" si="4">SUM(D17:D22)</f>
        <v>2915</v>
      </c>
      <c r="E23" s="1363">
        <f t="shared" si="4"/>
        <v>2915</v>
      </c>
      <c r="F23" s="1364">
        <f>E23/D23%</f>
        <v>100</v>
      </c>
      <c r="G23" s="1365">
        <f>SUM(G17:G22)</f>
        <v>0</v>
      </c>
      <c r="H23" s="1363">
        <f t="shared" ref="H23:I23" si="5">SUM(H17:H22)</f>
        <v>0</v>
      </c>
      <c r="I23" s="1363">
        <f t="shared" si="5"/>
        <v>0</v>
      </c>
      <c r="J23" s="1366"/>
      <c r="K23" s="1357">
        <f t="shared" si="1"/>
        <v>2512</v>
      </c>
      <c r="L23" s="1358">
        <f t="shared" si="2"/>
        <v>2915</v>
      </c>
      <c r="M23" s="1358">
        <f t="shared" si="3"/>
        <v>2915</v>
      </c>
      <c r="N23" s="1364">
        <f>M23/L23%</f>
        <v>100</v>
      </c>
    </row>
    <row r="24" spans="1:14" s="53" customFormat="1" ht="23.25" x14ac:dyDescent="0.35">
      <c r="A24" s="109" t="s">
        <v>409</v>
      </c>
      <c r="B24" s="1345" t="s">
        <v>408</v>
      </c>
      <c r="C24" s="1362"/>
      <c r="D24" s="1363"/>
      <c r="E24" s="1363"/>
      <c r="F24" s="1364"/>
      <c r="G24" s="1365"/>
      <c r="H24" s="1363"/>
      <c r="I24" s="1363"/>
      <c r="J24" s="1366"/>
      <c r="K24" s="1357">
        <f t="shared" si="1"/>
        <v>0</v>
      </c>
      <c r="L24" s="1358">
        <f t="shared" si="2"/>
        <v>0</v>
      </c>
      <c r="M24" s="1358">
        <f t="shared" si="3"/>
        <v>0</v>
      </c>
      <c r="N24" s="1382"/>
    </row>
    <row r="25" spans="1:14" s="53" customFormat="1" ht="23.25" x14ac:dyDescent="0.35">
      <c r="A25" s="109" t="s">
        <v>413</v>
      </c>
      <c r="B25" s="1345" t="s">
        <v>412</v>
      </c>
      <c r="C25" s="1362"/>
      <c r="D25" s="1363"/>
      <c r="E25" s="1363"/>
      <c r="F25" s="1364"/>
      <c r="G25" s="1365"/>
      <c r="H25" s="1363"/>
      <c r="I25" s="1363"/>
      <c r="J25" s="1366"/>
      <c r="K25" s="1357">
        <f t="shared" si="1"/>
        <v>0</v>
      </c>
      <c r="L25" s="1358">
        <f t="shared" si="2"/>
        <v>0</v>
      </c>
      <c r="M25" s="1358">
        <f t="shared" si="3"/>
        <v>0</v>
      </c>
      <c r="N25" s="1382"/>
    </row>
    <row r="26" spans="1:14" s="53" customFormat="1" ht="46.5" x14ac:dyDescent="0.35">
      <c r="A26" s="105" t="s">
        <v>415</v>
      </c>
      <c r="B26" s="1344" t="s">
        <v>414</v>
      </c>
      <c r="C26" s="1362"/>
      <c r="D26" s="1363"/>
      <c r="E26" s="1363"/>
      <c r="F26" s="1364"/>
      <c r="G26" s="1365"/>
      <c r="H26" s="1363"/>
      <c r="I26" s="1363"/>
      <c r="J26" s="1366"/>
      <c r="K26" s="1357">
        <f t="shared" si="1"/>
        <v>0</v>
      </c>
      <c r="L26" s="1358">
        <f t="shared" si="2"/>
        <v>0</v>
      </c>
      <c r="M26" s="1358">
        <f t="shared" si="3"/>
        <v>0</v>
      </c>
      <c r="N26" s="1382"/>
    </row>
    <row r="27" spans="1:14" s="53" customFormat="1" ht="23.25" x14ac:dyDescent="0.35">
      <c r="A27" s="105" t="s">
        <v>417</v>
      </c>
      <c r="B27" s="1347" t="s">
        <v>416</v>
      </c>
      <c r="C27" s="1362"/>
      <c r="D27" s="1363"/>
      <c r="E27" s="1363"/>
      <c r="F27" s="1364"/>
      <c r="G27" s="1365"/>
      <c r="H27" s="1363"/>
      <c r="I27" s="1363"/>
      <c r="J27" s="1366"/>
      <c r="K27" s="1357">
        <f t="shared" si="1"/>
        <v>0</v>
      </c>
      <c r="L27" s="1358">
        <f t="shared" si="2"/>
        <v>0</v>
      </c>
      <c r="M27" s="1358">
        <f t="shared" si="3"/>
        <v>0</v>
      </c>
      <c r="N27" s="1382"/>
    </row>
    <row r="28" spans="1:14" s="53" customFormat="1" ht="23.25" x14ac:dyDescent="0.35">
      <c r="A28" s="109" t="s">
        <v>419</v>
      </c>
      <c r="B28" s="1345" t="s">
        <v>418</v>
      </c>
      <c r="C28" s="1362"/>
      <c r="D28" s="1363"/>
      <c r="E28" s="1363"/>
      <c r="F28" s="1364"/>
      <c r="G28" s="1365"/>
      <c r="H28" s="1363"/>
      <c r="I28" s="1363"/>
      <c r="J28" s="1366"/>
      <c r="K28" s="1357">
        <f t="shared" si="1"/>
        <v>0</v>
      </c>
      <c r="L28" s="1358">
        <f t="shared" si="2"/>
        <v>0</v>
      </c>
      <c r="M28" s="1358">
        <f t="shared" si="3"/>
        <v>0</v>
      </c>
      <c r="N28" s="1382"/>
    </row>
    <row r="29" spans="1:14" s="53" customFormat="1" ht="22.5" x14ac:dyDescent="0.3">
      <c r="A29" s="111"/>
      <c r="B29" s="1349" t="s">
        <v>92</v>
      </c>
      <c r="C29" s="1367">
        <f>C11+C12+C16+C23+C25</f>
        <v>2512</v>
      </c>
      <c r="D29" s="1368">
        <f t="shared" ref="D29:E29" si="6">D11+D12+D16+D23+D25</f>
        <v>2915</v>
      </c>
      <c r="E29" s="1368">
        <f t="shared" si="6"/>
        <v>2915</v>
      </c>
      <c r="F29" s="1369">
        <f>E29/D29%</f>
        <v>100</v>
      </c>
      <c r="G29" s="1370">
        <f>G11+G12+G16+G23+G25</f>
        <v>0</v>
      </c>
      <c r="H29" s="1368">
        <f t="shared" ref="H29:I29" si="7">H11+H12+H16+H23+H25</f>
        <v>0</v>
      </c>
      <c r="I29" s="1368">
        <f t="shared" si="7"/>
        <v>0</v>
      </c>
      <c r="J29" s="1371"/>
      <c r="K29" s="1367">
        <f t="shared" si="1"/>
        <v>2512</v>
      </c>
      <c r="L29" s="1368">
        <f t="shared" si="2"/>
        <v>2915</v>
      </c>
      <c r="M29" s="1368">
        <f t="shared" si="3"/>
        <v>2915</v>
      </c>
      <c r="N29" s="1369">
        <f>M29/L29%</f>
        <v>100</v>
      </c>
    </row>
    <row r="30" spans="1:14" ht="22.5" x14ac:dyDescent="0.3">
      <c r="A30" s="111"/>
      <c r="B30" s="1349" t="s">
        <v>93</v>
      </c>
      <c r="C30" s="1367">
        <f>C24+C28</f>
        <v>0</v>
      </c>
      <c r="D30" s="1368">
        <f t="shared" ref="D30:E30" si="8">D24+D28</f>
        <v>0</v>
      </c>
      <c r="E30" s="1368">
        <f t="shared" si="8"/>
        <v>0</v>
      </c>
      <c r="F30" s="1369"/>
      <c r="G30" s="1370">
        <f>G24+G28</f>
        <v>0</v>
      </c>
      <c r="H30" s="1368">
        <f t="shared" ref="H30:I30" si="9">H24+H28</f>
        <v>0</v>
      </c>
      <c r="I30" s="1368">
        <f t="shared" si="9"/>
        <v>0</v>
      </c>
      <c r="J30" s="1371"/>
      <c r="K30" s="1367">
        <f t="shared" si="1"/>
        <v>0</v>
      </c>
      <c r="L30" s="1368">
        <f t="shared" si="2"/>
        <v>0</v>
      </c>
      <c r="M30" s="1368">
        <f t="shared" si="3"/>
        <v>0</v>
      </c>
      <c r="N30" s="1369"/>
    </row>
    <row r="31" spans="1:14" ht="22.5" x14ac:dyDescent="0.3">
      <c r="A31" s="106" t="s">
        <v>421</v>
      </c>
      <c r="B31" s="1350" t="s">
        <v>420</v>
      </c>
      <c r="C31" s="1372">
        <f>SUM(C29:C30)</f>
        <v>2512</v>
      </c>
      <c r="D31" s="1373">
        <f t="shared" ref="D31:E31" si="10">SUM(D29:D30)</f>
        <v>2915</v>
      </c>
      <c r="E31" s="1373">
        <f t="shared" si="10"/>
        <v>2915</v>
      </c>
      <c r="F31" s="1374">
        <f>E31/D31%</f>
        <v>100</v>
      </c>
      <c r="G31" s="1375">
        <f>SUM(G29:G30)</f>
        <v>0</v>
      </c>
      <c r="H31" s="1373">
        <f t="shared" ref="H31:I31" si="11">SUM(H29:H30)</f>
        <v>0</v>
      </c>
      <c r="I31" s="1373">
        <f t="shared" si="11"/>
        <v>0</v>
      </c>
      <c r="J31" s="1376"/>
      <c r="K31" s="1372">
        <f t="shared" si="1"/>
        <v>2512</v>
      </c>
      <c r="L31" s="1373">
        <f t="shared" si="2"/>
        <v>2915</v>
      </c>
      <c r="M31" s="1373">
        <f t="shared" si="3"/>
        <v>2915</v>
      </c>
      <c r="N31" s="1374">
        <f>M31/L31%</f>
        <v>100</v>
      </c>
    </row>
    <row r="32" spans="1:14" ht="23.25" x14ac:dyDescent="0.35">
      <c r="A32" s="112"/>
      <c r="B32" s="1351" t="s">
        <v>422</v>
      </c>
      <c r="C32" s="1377">
        <f>C29-C60</f>
        <v>-22401</v>
      </c>
      <c r="D32" s="1378">
        <f t="shared" ref="D32:E32" si="12">D29-D60</f>
        <v>-26665</v>
      </c>
      <c r="E32" s="1378">
        <f t="shared" si="12"/>
        <v>-25039</v>
      </c>
      <c r="F32" s="1379"/>
      <c r="G32" s="1380">
        <f>G29-G60</f>
        <v>0</v>
      </c>
      <c r="H32" s="1378">
        <f t="shared" ref="H32:I32" si="13">H29-H60</f>
        <v>0</v>
      </c>
      <c r="I32" s="1378">
        <f t="shared" si="13"/>
        <v>0</v>
      </c>
      <c r="J32" s="1381"/>
      <c r="K32" s="1377">
        <f t="shared" si="1"/>
        <v>-22401</v>
      </c>
      <c r="L32" s="1378">
        <f t="shared" si="2"/>
        <v>-26665</v>
      </c>
      <c r="M32" s="1378">
        <f t="shared" si="3"/>
        <v>-25039</v>
      </c>
      <c r="N32" s="1379"/>
    </row>
    <row r="33" spans="1:14" ht="23.25" x14ac:dyDescent="0.35">
      <c r="A33" s="112"/>
      <c r="B33" s="1351" t="s">
        <v>423</v>
      </c>
      <c r="C33" s="1377">
        <f>C30-C61</f>
        <v>-167</v>
      </c>
      <c r="D33" s="1378">
        <f t="shared" ref="D33:E33" si="14">D30-D61</f>
        <v>-167</v>
      </c>
      <c r="E33" s="1378">
        <f t="shared" si="14"/>
        <v>-95</v>
      </c>
      <c r="F33" s="1379"/>
      <c r="G33" s="1380">
        <f>G30-G61</f>
        <v>0</v>
      </c>
      <c r="H33" s="1378">
        <f t="shared" ref="H33:I33" si="15">H30-H61</f>
        <v>0</v>
      </c>
      <c r="I33" s="1378">
        <f t="shared" si="15"/>
        <v>0</v>
      </c>
      <c r="J33" s="1381"/>
      <c r="K33" s="1377">
        <f t="shared" si="1"/>
        <v>-167</v>
      </c>
      <c r="L33" s="1378">
        <f t="shared" si="2"/>
        <v>-167</v>
      </c>
      <c r="M33" s="1378">
        <f t="shared" si="3"/>
        <v>-95</v>
      </c>
      <c r="N33" s="1379"/>
    </row>
    <row r="34" spans="1:14" ht="23.25" x14ac:dyDescent="0.35">
      <c r="A34" s="107" t="s">
        <v>427</v>
      </c>
      <c r="B34" s="1347" t="s">
        <v>426</v>
      </c>
      <c r="C34" s="1357"/>
      <c r="D34" s="1358"/>
      <c r="E34" s="1358"/>
      <c r="F34" s="1382"/>
      <c r="G34" s="1360"/>
      <c r="H34" s="1358"/>
      <c r="I34" s="1358"/>
      <c r="J34" s="1361"/>
      <c r="K34" s="1357">
        <f t="shared" si="1"/>
        <v>0</v>
      </c>
      <c r="L34" s="1358">
        <f t="shared" si="2"/>
        <v>0</v>
      </c>
      <c r="M34" s="1358">
        <f t="shared" si="3"/>
        <v>0</v>
      </c>
      <c r="N34" s="1382"/>
    </row>
    <row r="35" spans="1:14" ht="46.5" x14ac:dyDescent="0.35">
      <c r="A35" s="107" t="s">
        <v>429</v>
      </c>
      <c r="B35" s="1344" t="s">
        <v>428</v>
      </c>
      <c r="C35" s="1357"/>
      <c r="D35" s="1358">
        <f>'3. Gesz költségvetés'!Y30</f>
        <v>740</v>
      </c>
      <c r="E35" s="1358">
        <f>'3. Gesz költségvetés'!Z30</f>
        <v>740</v>
      </c>
      <c r="F35" s="1359">
        <f>E35/D35%</f>
        <v>100</v>
      </c>
      <c r="G35" s="1360"/>
      <c r="H35" s="1358"/>
      <c r="I35" s="1358"/>
      <c r="J35" s="1361"/>
      <c r="K35" s="1357">
        <f t="shared" si="1"/>
        <v>0</v>
      </c>
      <c r="L35" s="1358">
        <f t="shared" si="2"/>
        <v>740</v>
      </c>
      <c r="M35" s="1358">
        <f t="shared" si="3"/>
        <v>740</v>
      </c>
      <c r="N35" s="1359">
        <f>M35/L35%</f>
        <v>100</v>
      </c>
    </row>
    <row r="36" spans="1:14" ht="46.5" x14ac:dyDescent="0.35">
      <c r="A36" s="107" t="s">
        <v>429</v>
      </c>
      <c r="B36" s="1344" t="s">
        <v>430</v>
      </c>
      <c r="C36" s="1357"/>
      <c r="D36" s="1358"/>
      <c r="E36" s="1358"/>
      <c r="F36" s="1382"/>
      <c r="G36" s="1360"/>
      <c r="H36" s="1358"/>
      <c r="I36" s="1358"/>
      <c r="J36" s="1361"/>
      <c r="K36" s="1357">
        <f t="shared" si="1"/>
        <v>0</v>
      </c>
      <c r="L36" s="1358">
        <f t="shared" si="2"/>
        <v>0</v>
      </c>
      <c r="M36" s="1358">
        <f t="shared" si="3"/>
        <v>0</v>
      </c>
      <c r="N36" s="1382"/>
    </row>
    <row r="37" spans="1:14" s="53" customFormat="1" ht="23.25" x14ac:dyDescent="0.35">
      <c r="A37" s="107" t="s">
        <v>432</v>
      </c>
      <c r="B37" s="1344" t="s">
        <v>431</v>
      </c>
      <c r="C37" s="1357"/>
      <c r="D37" s="1363">
        <f>SUM(D35:D36)</f>
        <v>740</v>
      </c>
      <c r="E37" s="1363">
        <f>SUM(E35:E36)</f>
        <v>740</v>
      </c>
      <c r="F37" s="1364">
        <f>E37/D37%</f>
        <v>100</v>
      </c>
      <c r="G37" s="1360"/>
      <c r="H37" s="1358"/>
      <c r="I37" s="1358"/>
      <c r="J37" s="1361"/>
      <c r="K37" s="1357">
        <f t="shared" si="1"/>
        <v>0</v>
      </c>
      <c r="L37" s="1363">
        <f t="shared" si="2"/>
        <v>740</v>
      </c>
      <c r="M37" s="1363">
        <f t="shared" si="3"/>
        <v>740</v>
      </c>
      <c r="N37" s="1364">
        <f>M37/L37%</f>
        <v>100</v>
      </c>
    </row>
    <row r="38" spans="1:14" ht="23.25" x14ac:dyDescent="0.35">
      <c r="A38" s="107" t="s">
        <v>434</v>
      </c>
      <c r="B38" s="1344" t="s">
        <v>433</v>
      </c>
      <c r="C38" s="1357">
        <v>22568</v>
      </c>
      <c r="D38" s="1358">
        <f>'3. Gesz költségvetés'!Y33</f>
        <v>26092</v>
      </c>
      <c r="E38" s="1358">
        <f>'3. Gesz költségvetés'!Z33</f>
        <v>24553</v>
      </c>
      <c r="F38" s="1359">
        <f t="shared" ref="F38:F40" si="16">E38/D38%</f>
        <v>94.101640349532417</v>
      </c>
      <c r="G38" s="1360"/>
      <c r="H38" s="1358"/>
      <c r="I38" s="1358"/>
      <c r="J38" s="1361"/>
      <c r="K38" s="1357">
        <f t="shared" si="1"/>
        <v>22568</v>
      </c>
      <c r="L38" s="1358">
        <f t="shared" si="2"/>
        <v>26092</v>
      </c>
      <c r="M38" s="1358">
        <f t="shared" si="3"/>
        <v>24553</v>
      </c>
      <c r="N38" s="1359">
        <f>M38/L38%</f>
        <v>94.101640349532417</v>
      </c>
    </row>
    <row r="39" spans="1:14" ht="22.5" x14ac:dyDescent="0.3">
      <c r="A39" s="116" t="s">
        <v>442</v>
      </c>
      <c r="B39" s="1352" t="s">
        <v>441</v>
      </c>
      <c r="C39" s="1372">
        <f>SUM(C34:C38)</f>
        <v>22568</v>
      </c>
      <c r="D39" s="1373">
        <f>SUM(D37:D38)</f>
        <v>26832</v>
      </c>
      <c r="E39" s="1373">
        <f>SUM(E37:E38)</f>
        <v>25293</v>
      </c>
      <c r="F39" s="1374">
        <f t="shared" si="16"/>
        <v>94.264311270125219</v>
      </c>
      <c r="G39" s="1375">
        <f>SUM(G34:G38)</f>
        <v>0</v>
      </c>
      <c r="H39" s="1373">
        <f t="shared" ref="H39:I39" si="17">SUM(H34:H38)</f>
        <v>0</v>
      </c>
      <c r="I39" s="1373">
        <f t="shared" si="17"/>
        <v>0</v>
      </c>
      <c r="J39" s="1376"/>
      <c r="K39" s="1372">
        <f t="shared" si="1"/>
        <v>22568</v>
      </c>
      <c r="L39" s="1373">
        <f t="shared" si="2"/>
        <v>26832</v>
      </c>
      <c r="M39" s="1373">
        <f t="shared" si="3"/>
        <v>25293</v>
      </c>
      <c r="N39" s="1374">
        <f>M39/L39%</f>
        <v>94.264311270125219</v>
      </c>
    </row>
    <row r="40" spans="1:14" ht="23.25" thickBot="1" x14ac:dyDescent="0.35">
      <c r="A40" s="118"/>
      <c r="B40" s="1353" t="s">
        <v>356</v>
      </c>
      <c r="C40" s="1383">
        <f>C31+C38</f>
        <v>25080</v>
      </c>
      <c r="D40" s="1384">
        <f>D31+D39</f>
        <v>29747</v>
      </c>
      <c r="E40" s="1384">
        <f>E31+E39</f>
        <v>28208</v>
      </c>
      <c r="F40" s="1385">
        <f t="shared" si="16"/>
        <v>94.826369045618037</v>
      </c>
      <c r="G40" s="1386">
        <f>G31+G38</f>
        <v>0</v>
      </c>
      <c r="H40" s="1384">
        <f t="shared" ref="H40:I40" si="18">H31+H38</f>
        <v>0</v>
      </c>
      <c r="I40" s="1384">
        <f t="shared" si="18"/>
        <v>0</v>
      </c>
      <c r="J40" s="1387"/>
      <c r="K40" s="1383">
        <f t="shared" si="1"/>
        <v>25080</v>
      </c>
      <c r="L40" s="1384">
        <f t="shared" si="2"/>
        <v>29747</v>
      </c>
      <c r="M40" s="1384">
        <f t="shared" si="3"/>
        <v>28208</v>
      </c>
      <c r="N40" s="1385">
        <f>M40/L40%</f>
        <v>94.826369045618037</v>
      </c>
    </row>
    <row r="41" spans="1:14" ht="17.25" thickBot="1" x14ac:dyDescent="0.3">
      <c r="A41" s="1143"/>
      <c r="B41" s="1143"/>
      <c r="C41" s="1143"/>
      <c r="D41" s="1143"/>
      <c r="E41" s="1143"/>
      <c r="F41" s="1143"/>
      <c r="G41" s="1143"/>
      <c r="H41" s="1143"/>
      <c r="I41" s="1143"/>
      <c r="J41" s="1143"/>
      <c r="K41" s="1143"/>
      <c r="L41" s="957"/>
      <c r="M41" s="957"/>
      <c r="N41" s="957"/>
    </row>
    <row r="42" spans="1:14" s="1341" customFormat="1" ht="23.25" x14ac:dyDescent="0.35">
      <c r="A42" s="2419" t="s">
        <v>364</v>
      </c>
      <c r="B42" s="2444" t="s">
        <v>804</v>
      </c>
      <c r="C42" s="2446" t="s">
        <v>152</v>
      </c>
      <c r="D42" s="2447"/>
      <c r="E42" s="2447"/>
      <c r="F42" s="2448"/>
      <c r="G42" s="2449" t="s">
        <v>1107</v>
      </c>
      <c r="H42" s="2447"/>
      <c r="I42" s="2447"/>
      <c r="J42" s="2450"/>
      <c r="K42" s="2446" t="s">
        <v>444</v>
      </c>
      <c r="L42" s="2447"/>
      <c r="M42" s="2447"/>
      <c r="N42" s="2448"/>
    </row>
    <row r="43" spans="1:14" s="855" customFormat="1" ht="101.25" x14ac:dyDescent="0.3">
      <c r="A43" s="2431"/>
      <c r="B43" s="2445" t="s">
        <v>799</v>
      </c>
      <c r="C43" s="1317" t="s">
        <v>1101</v>
      </c>
      <c r="D43" s="1318" t="s">
        <v>1102</v>
      </c>
      <c r="E43" s="1318" t="s">
        <v>1103</v>
      </c>
      <c r="F43" s="1319" t="s">
        <v>1084</v>
      </c>
      <c r="G43" s="1320" t="s">
        <v>1104</v>
      </c>
      <c r="H43" s="1318" t="s">
        <v>1105</v>
      </c>
      <c r="I43" s="1318" t="s">
        <v>1106</v>
      </c>
      <c r="J43" s="1321" t="s">
        <v>1084</v>
      </c>
      <c r="K43" s="2162" t="s">
        <v>1007</v>
      </c>
      <c r="L43" s="1318" t="s">
        <v>1069</v>
      </c>
      <c r="M43" s="1318" t="s">
        <v>1108</v>
      </c>
      <c r="N43" s="1319" t="s">
        <v>1084</v>
      </c>
    </row>
    <row r="44" spans="1:14" ht="23.25" x14ac:dyDescent="0.35">
      <c r="A44" s="102" t="s">
        <v>288</v>
      </c>
      <c r="B44" s="1354" t="s">
        <v>289</v>
      </c>
      <c r="C44" s="1357">
        <v>17291</v>
      </c>
      <c r="D44" s="1358">
        <f>'3. Gesz költségvetés'!Y39</f>
        <v>20130</v>
      </c>
      <c r="E44" s="1358">
        <f>'3. Gesz költségvetés'!Z39</f>
        <v>19805</v>
      </c>
      <c r="F44" s="1359">
        <f>E44/D44%</f>
        <v>98.385494287133625</v>
      </c>
      <c r="G44" s="1360"/>
      <c r="H44" s="1358"/>
      <c r="I44" s="1358"/>
      <c r="J44" s="1361"/>
      <c r="K44" s="1357">
        <f>C44+G44</f>
        <v>17291</v>
      </c>
      <c r="L44" s="1358">
        <f t="shared" ref="L44:M44" si="19">D44+H44</f>
        <v>20130</v>
      </c>
      <c r="M44" s="1358">
        <f t="shared" si="19"/>
        <v>19805</v>
      </c>
      <c r="N44" s="1359">
        <f>M44/L44%</f>
        <v>98.385494287133625</v>
      </c>
    </row>
    <row r="45" spans="1:14" ht="46.5" x14ac:dyDescent="0.35">
      <c r="A45" s="102" t="s">
        <v>290</v>
      </c>
      <c r="B45" s="1344" t="s">
        <v>291</v>
      </c>
      <c r="C45" s="1357">
        <v>4303</v>
      </c>
      <c r="D45" s="1358">
        <f>'3. Gesz költségvetés'!Y40</f>
        <v>4988</v>
      </c>
      <c r="E45" s="1358">
        <f>'3. Gesz költségvetés'!Z40</f>
        <v>4576</v>
      </c>
      <c r="F45" s="1359">
        <f t="shared" ref="F45:F48" si="20">E45/D45%</f>
        <v>91.740176423416187</v>
      </c>
      <c r="G45" s="1360"/>
      <c r="H45" s="1358"/>
      <c r="I45" s="1358"/>
      <c r="J45" s="1361"/>
      <c r="K45" s="1357">
        <f t="shared" ref="K45:K66" si="21">C45+G45</f>
        <v>4303</v>
      </c>
      <c r="L45" s="1358">
        <f t="shared" ref="L45:L66" si="22">D45+H45</f>
        <v>4988</v>
      </c>
      <c r="M45" s="1358">
        <f t="shared" ref="M45:M66" si="23">E45+I45</f>
        <v>4576</v>
      </c>
      <c r="N45" s="1359">
        <f>M45/L45%</f>
        <v>91.740176423416187</v>
      </c>
    </row>
    <row r="46" spans="1:14" ht="23.25" x14ac:dyDescent="0.35">
      <c r="A46" s="102" t="s">
        <v>292</v>
      </c>
      <c r="B46" s="1344" t="s">
        <v>293</v>
      </c>
      <c r="C46" s="1357">
        <v>3319</v>
      </c>
      <c r="D46" s="1358">
        <f>'3. Gesz költségvetés'!Y41</f>
        <v>3722</v>
      </c>
      <c r="E46" s="1358">
        <f>'3. Gesz költségvetés'!Z41</f>
        <v>2833</v>
      </c>
      <c r="F46" s="1359">
        <f t="shared" si="20"/>
        <v>76.114991939817301</v>
      </c>
      <c r="G46" s="1360"/>
      <c r="H46" s="1358"/>
      <c r="I46" s="1358"/>
      <c r="J46" s="1361"/>
      <c r="K46" s="1357">
        <f t="shared" si="21"/>
        <v>3319</v>
      </c>
      <c r="L46" s="1358">
        <f t="shared" si="22"/>
        <v>3722</v>
      </c>
      <c r="M46" s="1358">
        <f t="shared" si="23"/>
        <v>2833</v>
      </c>
      <c r="N46" s="1359">
        <f>M46/L46%</f>
        <v>76.114991939817301</v>
      </c>
    </row>
    <row r="47" spans="1:14" ht="23.25" x14ac:dyDescent="0.35">
      <c r="A47" s="102" t="s">
        <v>294</v>
      </c>
      <c r="B47" s="1347" t="s">
        <v>39</v>
      </c>
      <c r="C47" s="1357"/>
      <c r="D47" s="1358"/>
      <c r="E47" s="1358"/>
      <c r="F47" s="1359"/>
      <c r="G47" s="1360"/>
      <c r="H47" s="1358"/>
      <c r="I47" s="1358"/>
      <c r="J47" s="1361"/>
      <c r="K47" s="1357">
        <f t="shared" si="21"/>
        <v>0</v>
      </c>
      <c r="L47" s="1358">
        <f t="shared" si="22"/>
        <v>0</v>
      </c>
      <c r="M47" s="1358">
        <f t="shared" si="23"/>
        <v>0</v>
      </c>
      <c r="N47" s="1359"/>
    </row>
    <row r="48" spans="1:14" ht="23.25" x14ac:dyDescent="0.35">
      <c r="A48" s="102" t="s">
        <v>120</v>
      </c>
      <c r="B48" s="1347" t="s">
        <v>121</v>
      </c>
      <c r="C48" s="1357"/>
      <c r="D48" s="1358">
        <f>'3. Gesz költségvetés'!Y46</f>
        <v>740</v>
      </c>
      <c r="E48" s="1358">
        <f>'3. Gesz költségvetés'!Z46</f>
        <v>740</v>
      </c>
      <c r="F48" s="1359">
        <f t="shared" si="20"/>
        <v>100</v>
      </c>
      <c r="G48" s="1360"/>
      <c r="H48" s="1358"/>
      <c r="I48" s="1358"/>
      <c r="J48" s="1361"/>
      <c r="K48" s="1357">
        <f t="shared" si="21"/>
        <v>0</v>
      </c>
      <c r="L48" s="1358">
        <f t="shared" si="22"/>
        <v>740</v>
      </c>
      <c r="M48" s="1358">
        <f t="shared" si="23"/>
        <v>740</v>
      </c>
      <c r="N48" s="1359">
        <f>M48/L48%</f>
        <v>100</v>
      </c>
    </row>
    <row r="49" spans="1:14" ht="46.5" x14ac:dyDescent="0.35">
      <c r="A49" s="102" t="s">
        <v>295</v>
      </c>
      <c r="B49" s="1404" t="s">
        <v>296</v>
      </c>
      <c r="C49" s="1357"/>
      <c r="D49" s="1358"/>
      <c r="E49" s="1358"/>
      <c r="F49" s="1382"/>
      <c r="G49" s="1360"/>
      <c r="H49" s="1358"/>
      <c r="I49" s="1358"/>
      <c r="J49" s="1361"/>
      <c r="K49" s="1357">
        <f t="shared" si="21"/>
        <v>0</v>
      </c>
      <c r="L49" s="1358">
        <f t="shared" si="22"/>
        <v>0</v>
      </c>
      <c r="M49" s="1358">
        <f t="shared" si="23"/>
        <v>0</v>
      </c>
      <c r="N49" s="1382"/>
    </row>
    <row r="50" spans="1:14" ht="46.5" x14ac:dyDescent="0.35">
      <c r="A50" s="102" t="s">
        <v>298</v>
      </c>
      <c r="B50" s="1404" t="s">
        <v>297</v>
      </c>
      <c r="C50" s="1357"/>
      <c r="D50" s="1358"/>
      <c r="E50" s="1358"/>
      <c r="F50" s="1382"/>
      <c r="G50" s="1360"/>
      <c r="H50" s="1358"/>
      <c r="I50" s="1358"/>
      <c r="J50" s="1361"/>
      <c r="K50" s="1357">
        <f t="shared" si="21"/>
        <v>0</v>
      </c>
      <c r="L50" s="1358">
        <f t="shared" si="22"/>
        <v>0</v>
      </c>
      <c r="M50" s="1358">
        <f t="shared" si="23"/>
        <v>0</v>
      </c>
      <c r="N50" s="1382"/>
    </row>
    <row r="51" spans="1:14" ht="23.25" x14ac:dyDescent="0.35">
      <c r="A51" s="102" t="s">
        <v>785</v>
      </c>
      <c r="B51" s="1405" t="s">
        <v>299</v>
      </c>
      <c r="C51" s="1357"/>
      <c r="D51" s="1358"/>
      <c r="E51" s="1358"/>
      <c r="F51" s="1382"/>
      <c r="G51" s="1360"/>
      <c r="H51" s="1358"/>
      <c r="I51" s="1358"/>
      <c r="J51" s="1361"/>
      <c r="K51" s="1357">
        <f t="shared" si="21"/>
        <v>0</v>
      </c>
      <c r="L51" s="1358">
        <f t="shared" si="22"/>
        <v>0</v>
      </c>
      <c r="M51" s="1358">
        <f t="shared" si="23"/>
        <v>0</v>
      </c>
      <c r="N51" s="1382"/>
    </row>
    <row r="52" spans="1:14" ht="23.25" x14ac:dyDescent="0.35">
      <c r="A52" s="102" t="s">
        <v>785</v>
      </c>
      <c r="B52" s="1405" t="s">
        <v>155</v>
      </c>
      <c r="C52" s="1357"/>
      <c r="D52" s="1358"/>
      <c r="E52" s="1358"/>
      <c r="F52" s="1382"/>
      <c r="G52" s="1360"/>
      <c r="H52" s="1358"/>
      <c r="I52" s="1358"/>
      <c r="J52" s="1361"/>
      <c r="K52" s="1357">
        <f t="shared" si="21"/>
        <v>0</v>
      </c>
      <c r="L52" s="1358">
        <f t="shared" si="22"/>
        <v>0</v>
      </c>
      <c r="M52" s="1358">
        <f t="shared" si="23"/>
        <v>0</v>
      </c>
      <c r="N52" s="1382"/>
    </row>
    <row r="53" spans="1:14" ht="23.25" x14ac:dyDescent="0.35">
      <c r="A53" s="102" t="s">
        <v>785</v>
      </c>
      <c r="B53" s="1405" t="s">
        <v>300</v>
      </c>
      <c r="C53" s="1357"/>
      <c r="D53" s="1358"/>
      <c r="E53" s="1358"/>
      <c r="F53" s="1382"/>
      <c r="G53" s="1360"/>
      <c r="H53" s="1358"/>
      <c r="I53" s="1358"/>
      <c r="J53" s="1361"/>
      <c r="K53" s="1357">
        <f t="shared" si="21"/>
        <v>0</v>
      </c>
      <c r="L53" s="1358">
        <f t="shared" si="22"/>
        <v>0</v>
      </c>
      <c r="M53" s="1358">
        <f t="shared" si="23"/>
        <v>0</v>
      </c>
      <c r="N53" s="1382"/>
    </row>
    <row r="54" spans="1:14" ht="23.25" x14ac:dyDescent="0.35">
      <c r="A54" s="102" t="s">
        <v>301</v>
      </c>
      <c r="B54" s="1347" t="s">
        <v>302</v>
      </c>
      <c r="C54" s="1362">
        <f>SUM(C48:C53)</f>
        <v>0</v>
      </c>
      <c r="D54" s="1363">
        <f t="shared" ref="D54:E54" si="24">SUM(D48:D53)</f>
        <v>740</v>
      </c>
      <c r="E54" s="1363">
        <f t="shared" si="24"/>
        <v>740</v>
      </c>
      <c r="F54" s="1359">
        <f t="shared" ref="F54" si="25">E54/D54%</f>
        <v>100</v>
      </c>
      <c r="G54" s="1360"/>
      <c r="H54" s="1358"/>
      <c r="I54" s="1358"/>
      <c r="J54" s="1361"/>
      <c r="K54" s="1357">
        <f t="shared" si="21"/>
        <v>0</v>
      </c>
      <c r="L54" s="1358">
        <f t="shared" si="22"/>
        <v>740</v>
      </c>
      <c r="M54" s="1358">
        <f t="shared" si="23"/>
        <v>740</v>
      </c>
      <c r="N54" s="1359">
        <f>M54/L54%</f>
        <v>100</v>
      </c>
    </row>
    <row r="55" spans="1:14" ht="23.25" x14ac:dyDescent="0.35">
      <c r="A55" s="102" t="s">
        <v>303</v>
      </c>
      <c r="B55" s="1406" t="s">
        <v>446</v>
      </c>
      <c r="C55" s="1357">
        <v>167</v>
      </c>
      <c r="D55" s="1358">
        <f>'3. Gesz költségvetés'!Y48</f>
        <v>167</v>
      </c>
      <c r="E55" s="1358">
        <f>'3. Gesz költségvetés'!Z48</f>
        <v>95</v>
      </c>
      <c r="F55" s="1359">
        <f>E55/D55%</f>
        <v>56.886227544910184</v>
      </c>
      <c r="G55" s="1360"/>
      <c r="H55" s="1358"/>
      <c r="I55" s="1358"/>
      <c r="J55" s="1361"/>
      <c r="K55" s="1357">
        <f t="shared" si="21"/>
        <v>167</v>
      </c>
      <c r="L55" s="1358">
        <f t="shared" si="22"/>
        <v>167</v>
      </c>
      <c r="M55" s="1358">
        <f t="shared" si="23"/>
        <v>95</v>
      </c>
      <c r="N55" s="1359">
        <f>M55/L55%</f>
        <v>56.886227544910184</v>
      </c>
    </row>
    <row r="56" spans="1:14" ht="23.25" x14ac:dyDescent="0.35">
      <c r="A56" s="102" t="s">
        <v>304</v>
      </c>
      <c r="B56" s="1347" t="s">
        <v>305</v>
      </c>
      <c r="C56" s="1357"/>
      <c r="D56" s="1358"/>
      <c r="E56" s="1358"/>
      <c r="F56" s="1382"/>
      <c r="G56" s="1360"/>
      <c r="H56" s="1358"/>
      <c r="I56" s="1358"/>
      <c r="J56" s="1361"/>
      <c r="K56" s="1357">
        <f t="shared" si="21"/>
        <v>0</v>
      </c>
      <c r="L56" s="1358">
        <f t="shared" si="22"/>
        <v>0</v>
      </c>
      <c r="M56" s="1358">
        <f t="shared" si="23"/>
        <v>0</v>
      </c>
      <c r="N56" s="1382"/>
    </row>
    <row r="57" spans="1:14" ht="46.5" x14ac:dyDescent="0.35">
      <c r="A57" s="102" t="s">
        <v>251</v>
      </c>
      <c r="B57" s="1347" t="s">
        <v>154</v>
      </c>
      <c r="C57" s="1357"/>
      <c r="D57" s="1358"/>
      <c r="E57" s="1358"/>
      <c r="F57" s="1382"/>
      <c r="G57" s="1360"/>
      <c r="H57" s="1358"/>
      <c r="I57" s="1358"/>
      <c r="J57" s="1361"/>
      <c r="K57" s="1357">
        <f t="shared" si="21"/>
        <v>0</v>
      </c>
      <c r="L57" s="1358">
        <f t="shared" si="22"/>
        <v>0</v>
      </c>
      <c r="M57" s="1358">
        <f t="shared" si="23"/>
        <v>0</v>
      </c>
      <c r="N57" s="1382"/>
    </row>
    <row r="58" spans="1:14" ht="46.5" x14ac:dyDescent="0.35">
      <c r="A58" s="102" t="s">
        <v>306</v>
      </c>
      <c r="B58" s="1347" t="s">
        <v>307</v>
      </c>
      <c r="C58" s="1357"/>
      <c r="D58" s="1358"/>
      <c r="E58" s="1358"/>
      <c r="F58" s="1382"/>
      <c r="G58" s="1360"/>
      <c r="H58" s="1358"/>
      <c r="I58" s="1358"/>
      <c r="J58" s="1361"/>
      <c r="K58" s="1357">
        <f t="shared" si="21"/>
        <v>0</v>
      </c>
      <c r="L58" s="1358">
        <f t="shared" si="22"/>
        <v>0</v>
      </c>
      <c r="M58" s="1358">
        <f t="shared" si="23"/>
        <v>0</v>
      </c>
      <c r="N58" s="1382"/>
    </row>
    <row r="59" spans="1:14" ht="23.25" x14ac:dyDescent="0.35">
      <c r="A59" s="102" t="s">
        <v>308</v>
      </c>
      <c r="B59" s="1347" t="s">
        <v>309</v>
      </c>
      <c r="C59" s="1357"/>
      <c r="D59" s="1358"/>
      <c r="E59" s="1358"/>
      <c r="F59" s="1382"/>
      <c r="G59" s="1360"/>
      <c r="H59" s="1358"/>
      <c r="I59" s="1358"/>
      <c r="J59" s="1361"/>
      <c r="K59" s="1357">
        <f t="shared" si="21"/>
        <v>0</v>
      </c>
      <c r="L59" s="1358">
        <f t="shared" si="22"/>
        <v>0</v>
      </c>
      <c r="M59" s="1358">
        <f t="shared" si="23"/>
        <v>0</v>
      </c>
      <c r="N59" s="1382"/>
    </row>
    <row r="60" spans="1:14" ht="23.25" x14ac:dyDescent="0.35">
      <c r="A60" s="117"/>
      <c r="B60" s="1407" t="s">
        <v>324</v>
      </c>
      <c r="C60" s="1814">
        <f>SUM(C44:C54)</f>
        <v>24913</v>
      </c>
      <c r="D60" s="1434">
        <f>SUM(D44:D53)</f>
        <v>29580</v>
      </c>
      <c r="E60" s="1434">
        <f>SUM(E44:E53)</f>
        <v>27954</v>
      </c>
      <c r="F60" s="1816">
        <f t="shared" ref="F60:F62" si="26">E60/D60%</f>
        <v>94.503042596348877</v>
      </c>
      <c r="G60" s="1813">
        <f>SUM(G44:G54)</f>
        <v>0</v>
      </c>
      <c r="H60" s="1434">
        <f t="shared" ref="H60:I60" si="27">SUM(H44:H54)</f>
        <v>0</v>
      </c>
      <c r="I60" s="1434">
        <f t="shared" si="27"/>
        <v>0</v>
      </c>
      <c r="J60" s="1815"/>
      <c r="K60" s="1814">
        <f t="shared" si="21"/>
        <v>24913</v>
      </c>
      <c r="L60" s="1434">
        <f t="shared" si="22"/>
        <v>29580</v>
      </c>
      <c r="M60" s="1434">
        <f t="shared" si="23"/>
        <v>27954</v>
      </c>
      <c r="N60" s="1816">
        <f>M60/L60%</f>
        <v>94.503042596348877</v>
      </c>
    </row>
    <row r="61" spans="1:14" ht="23.25" x14ac:dyDescent="0.35">
      <c r="A61" s="117"/>
      <c r="B61" s="1407" t="s">
        <v>325</v>
      </c>
      <c r="C61" s="1814">
        <f>SUM(C55:C59)</f>
        <v>167</v>
      </c>
      <c r="D61" s="1434">
        <f t="shared" ref="D61:E61" si="28">SUM(D55:D59)</f>
        <v>167</v>
      </c>
      <c r="E61" s="1434">
        <f t="shared" si="28"/>
        <v>95</v>
      </c>
      <c r="F61" s="1816">
        <f t="shared" si="26"/>
        <v>56.886227544910184</v>
      </c>
      <c r="G61" s="1813">
        <f>SUM(G55:G59)</f>
        <v>0</v>
      </c>
      <c r="H61" s="1434">
        <f t="shared" ref="H61:I61" si="29">SUM(H55:H59)</f>
        <v>0</v>
      </c>
      <c r="I61" s="1434">
        <f t="shared" si="29"/>
        <v>0</v>
      </c>
      <c r="J61" s="1815"/>
      <c r="K61" s="1814">
        <f t="shared" si="21"/>
        <v>167</v>
      </c>
      <c r="L61" s="1434">
        <f t="shared" si="22"/>
        <v>167</v>
      </c>
      <c r="M61" s="1434">
        <f t="shared" si="23"/>
        <v>95</v>
      </c>
      <c r="N61" s="1816">
        <f>M61/L61%</f>
        <v>56.886227544910184</v>
      </c>
    </row>
    <row r="62" spans="1:14" ht="22.5" x14ac:dyDescent="0.3">
      <c r="A62" s="106" t="s">
        <v>310</v>
      </c>
      <c r="B62" s="1350" t="s">
        <v>311</v>
      </c>
      <c r="C62" s="1372">
        <f>SUM(C60:C61)</f>
        <v>25080</v>
      </c>
      <c r="D62" s="1373">
        <f t="shared" ref="D62:E62" si="30">SUM(D60:D61)</f>
        <v>29747</v>
      </c>
      <c r="E62" s="1373">
        <f t="shared" si="30"/>
        <v>28049</v>
      </c>
      <c r="F62" s="1374">
        <f t="shared" si="26"/>
        <v>94.291861364171169</v>
      </c>
      <c r="G62" s="1375">
        <f>SUM(G60:G61)</f>
        <v>0</v>
      </c>
      <c r="H62" s="1373">
        <f t="shared" ref="H62:I62" si="31">SUM(H60:H61)</f>
        <v>0</v>
      </c>
      <c r="I62" s="1373">
        <f t="shared" si="31"/>
        <v>0</v>
      </c>
      <c r="J62" s="1376"/>
      <c r="K62" s="1372">
        <f t="shared" si="21"/>
        <v>25080</v>
      </c>
      <c r="L62" s="1373">
        <f t="shared" si="22"/>
        <v>29747</v>
      </c>
      <c r="M62" s="1373">
        <f t="shared" si="23"/>
        <v>28049</v>
      </c>
      <c r="N62" s="1374">
        <f>M62/L62%</f>
        <v>94.291861364171169</v>
      </c>
    </row>
    <row r="63" spans="1:14" ht="23.25" x14ac:dyDescent="0.2">
      <c r="A63" s="107" t="s">
        <v>312</v>
      </c>
      <c r="B63" s="1347" t="s">
        <v>252</v>
      </c>
      <c r="C63" s="1392"/>
      <c r="D63" s="1393"/>
      <c r="E63" s="1393"/>
      <c r="F63" s="1442"/>
      <c r="G63" s="1395"/>
      <c r="H63" s="1393"/>
      <c r="I63" s="1393"/>
      <c r="J63" s="1396"/>
      <c r="K63" s="1392">
        <f t="shared" si="21"/>
        <v>0</v>
      </c>
      <c r="L63" s="1393">
        <f t="shared" si="22"/>
        <v>0</v>
      </c>
      <c r="M63" s="1393">
        <f t="shared" si="23"/>
        <v>0</v>
      </c>
      <c r="N63" s="1442"/>
    </row>
    <row r="64" spans="1:14" ht="23.25" x14ac:dyDescent="0.2">
      <c r="A64" s="107" t="s">
        <v>326</v>
      </c>
      <c r="B64" s="1347" t="s">
        <v>327</v>
      </c>
      <c r="C64" s="930"/>
      <c r="D64" s="525"/>
      <c r="E64" s="525"/>
      <c r="F64" s="775"/>
      <c r="G64" s="924"/>
      <c r="H64" s="525"/>
      <c r="I64" s="525"/>
      <c r="J64" s="918"/>
      <c r="K64" s="930">
        <f t="shared" si="21"/>
        <v>0</v>
      </c>
      <c r="L64" s="525">
        <f t="shared" si="22"/>
        <v>0</v>
      </c>
      <c r="M64" s="525">
        <f t="shared" si="23"/>
        <v>0</v>
      </c>
      <c r="N64" s="775"/>
    </row>
    <row r="65" spans="1:14" ht="22.5" x14ac:dyDescent="0.3">
      <c r="A65" s="116" t="s">
        <v>322</v>
      </c>
      <c r="B65" s="1352" t="s">
        <v>42</v>
      </c>
      <c r="C65" s="1372">
        <f>SUM(C63:C64)</f>
        <v>0</v>
      </c>
      <c r="D65" s="1373">
        <f t="shared" ref="D65:E65" si="32">SUM(D63:D64)</f>
        <v>0</v>
      </c>
      <c r="E65" s="1373">
        <f t="shared" si="32"/>
        <v>0</v>
      </c>
      <c r="F65" s="1441"/>
      <c r="G65" s="1375">
        <f>SUM(G63:G64)</f>
        <v>0</v>
      </c>
      <c r="H65" s="1373">
        <f t="shared" ref="H65:I65" si="33">SUM(H63:H64)</f>
        <v>0</v>
      </c>
      <c r="I65" s="1373">
        <f t="shared" si="33"/>
        <v>0</v>
      </c>
      <c r="J65" s="1376"/>
      <c r="K65" s="1372">
        <f t="shared" si="21"/>
        <v>0</v>
      </c>
      <c r="L65" s="1373">
        <f t="shared" si="22"/>
        <v>0</v>
      </c>
      <c r="M65" s="1373">
        <f t="shared" si="23"/>
        <v>0</v>
      </c>
      <c r="N65" s="1441"/>
    </row>
    <row r="66" spans="1:14" ht="23.25" thickBot="1" x14ac:dyDescent="0.35">
      <c r="A66" s="118"/>
      <c r="B66" s="1353" t="s">
        <v>346</v>
      </c>
      <c r="C66" s="1383">
        <f>C62+C65</f>
        <v>25080</v>
      </c>
      <c r="D66" s="1384">
        <f t="shared" ref="D66:E66" si="34">D62+D65</f>
        <v>29747</v>
      </c>
      <c r="E66" s="1384">
        <f t="shared" si="34"/>
        <v>28049</v>
      </c>
      <c r="F66" s="1385">
        <f>E66/D66%</f>
        <v>94.291861364171169</v>
      </c>
      <c r="G66" s="1386">
        <f>G62+G65</f>
        <v>0</v>
      </c>
      <c r="H66" s="1384">
        <f t="shared" ref="H66:I66" si="35">H62+H65</f>
        <v>0</v>
      </c>
      <c r="I66" s="1384">
        <f t="shared" si="35"/>
        <v>0</v>
      </c>
      <c r="J66" s="1387"/>
      <c r="K66" s="1383">
        <f t="shared" si="21"/>
        <v>25080</v>
      </c>
      <c r="L66" s="1384">
        <f t="shared" si="22"/>
        <v>29747</v>
      </c>
      <c r="M66" s="1384">
        <f t="shared" si="23"/>
        <v>28049</v>
      </c>
      <c r="N66" s="1385">
        <f>M66/L66%</f>
        <v>94.291861364171169</v>
      </c>
    </row>
    <row r="68" spans="1:14" ht="20.25" x14ac:dyDescent="0.3">
      <c r="K68" s="1340"/>
      <c r="L68" s="1340"/>
      <c r="M68" s="1340"/>
      <c r="N68" s="483"/>
    </row>
    <row r="69" spans="1:14" ht="20.25" x14ac:dyDescent="0.3">
      <c r="K69" s="1340"/>
      <c r="L69" s="1340"/>
      <c r="M69" s="1340"/>
      <c r="N69" s="483"/>
    </row>
    <row r="70" spans="1:14" ht="20.25" x14ac:dyDescent="0.3">
      <c r="M70" s="855"/>
    </row>
  </sheetData>
  <mergeCells count="13">
    <mergeCell ref="A1:N1"/>
    <mergeCell ref="A2:N2"/>
    <mergeCell ref="A4:N4"/>
    <mergeCell ref="A42:A43"/>
    <mergeCell ref="B42:B43"/>
    <mergeCell ref="C42:F42"/>
    <mergeCell ref="G42:J42"/>
    <mergeCell ref="K42:N42"/>
    <mergeCell ref="A7:A8"/>
    <mergeCell ref="B7:B8"/>
    <mergeCell ref="C7:F7"/>
    <mergeCell ref="G7:J7"/>
    <mergeCell ref="K7:N7"/>
  </mergeCells>
  <pageMargins left="0.75" right="0.75" top="0.28999999999999998" bottom="0.41" header="0.5" footer="0.5"/>
  <pageSetup paperSize="9" scale="3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J76"/>
  <sheetViews>
    <sheetView view="pageBreakPreview" topLeftCell="A28" zoomScaleSheetLayoutView="100" workbookViewId="0">
      <selection activeCell="F49" sqref="F49"/>
    </sheetView>
  </sheetViews>
  <sheetFormatPr defaultRowHeight="15" x14ac:dyDescent="0.25"/>
  <cols>
    <col min="1" max="1" width="5" style="373" customWidth="1"/>
    <col min="2" max="2" width="5.42578125" style="376" customWidth="1"/>
    <col min="3" max="3" width="6.85546875" style="376" customWidth="1"/>
    <col min="4" max="4" width="104.42578125" style="376" customWidth="1"/>
    <col min="5" max="5" width="17" style="376" customWidth="1"/>
    <col min="6" max="6" width="17" style="661" customWidth="1"/>
    <col min="7" max="7" width="17" style="373" customWidth="1"/>
    <col min="8" max="8" width="13.5703125" style="373" customWidth="1"/>
    <col min="9" max="16384" width="9.140625" style="373"/>
  </cols>
  <sheetData>
    <row r="1" spans="1:8" ht="18.75" x14ac:dyDescent="0.3">
      <c r="A1" s="2464" t="str">
        <f>'12. Támogatási bevételek (B (2)'!A1:AC1</f>
        <v>Pilisvörösvár Város Önkormányzata Képviselő-testületének 7/2018. (IV. 27.) önkormányzati rendelete</v>
      </c>
      <c r="B1" s="2464"/>
      <c r="C1" s="2464"/>
      <c r="D1" s="2464"/>
      <c r="E1" s="2464"/>
      <c r="F1" s="2464"/>
    </row>
    <row r="2" spans="1:8" ht="18.75" x14ac:dyDescent="0.3">
      <c r="A2" s="2464" t="str">
        <f>'12. Támogatási bevételek (B (2)'!A2:AC2</f>
        <v>az Önkormányzat  2017. évi zárszámadásáról</v>
      </c>
      <c r="B2" s="2464"/>
      <c r="C2" s="2464"/>
      <c r="D2" s="2464"/>
      <c r="E2" s="2464"/>
      <c r="F2" s="2464"/>
    </row>
    <row r="3" spans="1:8" ht="18.75" x14ac:dyDescent="0.3">
      <c r="A3" s="862"/>
      <c r="B3" s="862"/>
      <c r="C3" s="862"/>
      <c r="D3" s="862"/>
      <c r="E3" s="862"/>
      <c r="F3" s="862"/>
    </row>
    <row r="4" spans="1:8" ht="18.75" x14ac:dyDescent="0.3">
      <c r="A4" s="2464" t="e">
        <f>Tartalomjegyzék_2017!#REF!</f>
        <v>#REF!</v>
      </c>
      <c r="B4" s="2464"/>
      <c r="C4" s="2464"/>
      <c r="D4" s="2464"/>
      <c r="E4" s="2464"/>
      <c r="F4" s="2464"/>
    </row>
    <row r="5" spans="1:8" ht="18.75" x14ac:dyDescent="0.3">
      <c r="A5" s="862"/>
      <c r="B5" s="862"/>
      <c r="C5" s="862"/>
      <c r="D5" s="862"/>
      <c r="E5" s="862"/>
      <c r="F5" s="862"/>
    </row>
    <row r="6" spans="1:8" s="375" customFormat="1" ht="45" customHeight="1" x14ac:dyDescent="0.3">
      <c r="A6" s="2465" t="s">
        <v>999</v>
      </c>
      <c r="B6" s="2465"/>
      <c r="C6" s="2465"/>
      <c r="D6" s="2465"/>
      <c r="E6" s="2465"/>
      <c r="F6" s="2465"/>
      <c r="G6" s="374"/>
      <c r="H6" s="374"/>
    </row>
    <row r="7" spans="1:8" ht="19.5" customHeight="1" x14ac:dyDescent="0.3">
      <c r="A7" s="750"/>
      <c r="B7" s="750"/>
      <c r="C7" s="750"/>
      <c r="D7" s="751"/>
      <c r="E7" s="751"/>
      <c r="F7" s="808" t="s">
        <v>805</v>
      </c>
    </row>
    <row r="8" spans="1:8" ht="19.5" thickBot="1" x14ac:dyDescent="0.35">
      <c r="A8" s="27"/>
      <c r="B8" s="752"/>
      <c r="C8" s="752"/>
      <c r="D8" s="752"/>
      <c r="E8" s="752"/>
      <c r="F8" s="808" t="s">
        <v>806</v>
      </c>
    </row>
    <row r="9" spans="1:8" ht="54.75" customHeight="1" thickBot="1" x14ac:dyDescent="0.3">
      <c r="A9" s="753"/>
      <c r="B9" s="2466" t="s">
        <v>481</v>
      </c>
      <c r="C9" s="2466"/>
      <c r="D9" s="2466"/>
      <c r="E9" s="754" t="s">
        <v>705</v>
      </c>
      <c r="F9" s="754" t="s">
        <v>944</v>
      </c>
    </row>
    <row r="10" spans="1:8" ht="29.25" customHeight="1" x14ac:dyDescent="0.25">
      <c r="A10" s="2475" t="s">
        <v>710</v>
      </c>
      <c r="B10" s="2476"/>
      <c r="C10" s="2476"/>
      <c r="D10" s="2476"/>
      <c r="E10" s="2476"/>
      <c r="F10" s="2477"/>
    </row>
    <row r="11" spans="1:8" ht="15.75" x14ac:dyDescent="0.25">
      <c r="A11" s="2470" t="s">
        <v>482</v>
      </c>
      <c r="B11" s="2486">
        <v>1</v>
      </c>
      <c r="C11" s="413" t="s">
        <v>483</v>
      </c>
      <c r="D11" s="414" t="s">
        <v>484</v>
      </c>
      <c r="E11" s="690">
        <v>156407000</v>
      </c>
      <c r="F11" s="755">
        <v>156590200</v>
      </c>
      <c r="H11" s="508"/>
    </row>
    <row r="12" spans="1:8" ht="15.75" x14ac:dyDescent="0.25">
      <c r="A12" s="2470"/>
      <c r="B12" s="2470"/>
      <c r="C12" s="379" t="s">
        <v>706</v>
      </c>
      <c r="D12" s="407" t="s">
        <v>485</v>
      </c>
      <c r="E12" s="691">
        <v>106309305.923875</v>
      </c>
      <c r="F12" s="756">
        <f>F11-J36</f>
        <v>95611485.231274992</v>
      </c>
      <c r="H12" s="654"/>
    </row>
    <row r="13" spans="1:8" ht="17.25" customHeight="1" x14ac:dyDescent="0.25">
      <c r="A13" s="2470"/>
      <c r="B13" s="2470"/>
      <c r="C13" s="377" t="s">
        <v>486</v>
      </c>
      <c r="D13" s="378" t="s">
        <v>487</v>
      </c>
      <c r="E13" s="690">
        <v>70143990</v>
      </c>
      <c r="F13" s="755">
        <f>F15+F17+F19+F21</f>
        <v>70277370</v>
      </c>
      <c r="H13" s="654"/>
    </row>
    <row r="14" spans="1:8" ht="17.25" customHeight="1" x14ac:dyDescent="0.25">
      <c r="A14" s="2470"/>
      <c r="B14" s="2470"/>
      <c r="C14" s="379" t="s">
        <v>707</v>
      </c>
      <c r="D14" s="380" t="s">
        <v>719</v>
      </c>
      <c r="E14" s="691">
        <v>0</v>
      </c>
      <c r="F14" s="757">
        <v>0</v>
      </c>
      <c r="H14" s="654"/>
    </row>
    <row r="15" spans="1:8" ht="15.75" x14ac:dyDescent="0.25">
      <c r="A15" s="2470"/>
      <c r="B15" s="2470"/>
      <c r="C15" s="377"/>
      <c r="D15" s="12" t="s">
        <v>488</v>
      </c>
      <c r="E15" s="690">
        <v>12673090</v>
      </c>
      <c r="F15" s="758">
        <v>12686470</v>
      </c>
      <c r="H15" s="654"/>
    </row>
    <row r="16" spans="1:8" ht="15.75" x14ac:dyDescent="0.25">
      <c r="A16" s="2470"/>
      <c r="B16" s="2470"/>
      <c r="C16" s="377"/>
      <c r="D16" s="297" t="s">
        <v>489</v>
      </c>
      <c r="E16" s="690">
        <v>0</v>
      </c>
      <c r="F16" s="758">
        <v>0</v>
      </c>
      <c r="H16" s="654"/>
    </row>
    <row r="17" spans="1:8" ht="22.5" customHeight="1" x14ac:dyDescent="0.25">
      <c r="A17" s="2470"/>
      <c r="B17" s="2470"/>
      <c r="C17" s="377"/>
      <c r="D17" s="297" t="s">
        <v>490</v>
      </c>
      <c r="E17" s="690">
        <v>37600000</v>
      </c>
      <c r="F17" s="758">
        <v>37720000</v>
      </c>
      <c r="H17" s="654"/>
    </row>
    <row r="18" spans="1:8" ht="15.75" x14ac:dyDescent="0.25">
      <c r="A18" s="2470"/>
      <c r="B18" s="2470"/>
      <c r="C18" s="377"/>
      <c r="D18" s="297" t="s">
        <v>491</v>
      </c>
      <c r="E18" s="690">
        <v>0</v>
      </c>
      <c r="F18" s="758">
        <v>0</v>
      </c>
      <c r="H18" s="654"/>
    </row>
    <row r="19" spans="1:8" ht="15.75" x14ac:dyDescent="0.25">
      <c r="A19" s="2470"/>
      <c r="B19" s="2470"/>
      <c r="C19" s="377"/>
      <c r="D19" s="12" t="s">
        <v>492</v>
      </c>
      <c r="E19" s="690">
        <v>100000</v>
      </c>
      <c r="F19" s="758">
        <v>100000</v>
      </c>
      <c r="H19" s="654"/>
    </row>
    <row r="20" spans="1:8" ht="15.75" x14ac:dyDescent="0.25">
      <c r="A20" s="2470"/>
      <c r="B20" s="2470"/>
      <c r="C20" s="377"/>
      <c r="D20" s="12" t="s">
        <v>493</v>
      </c>
      <c r="E20" s="690">
        <v>0</v>
      </c>
      <c r="F20" s="758">
        <v>0</v>
      </c>
      <c r="H20" s="654"/>
    </row>
    <row r="21" spans="1:8" ht="15.75" x14ac:dyDescent="0.25">
      <c r="A21" s="2470"/>
      <c r="B21" s="2470"/>
      <c r="C21" s="377"/>
      <c r="D21" s="12" t="s">
        <v>494</v>
      </c>
      <c r="E21" s="690">
        <v>19770900</v>
      </c>
      <c r="F21" s="758">
        <v>19770900</v>
      </c>
      <c r="H21" s="654"/>
    </row>
    <row r="22" spans="1:8" ht="15.75" x14ac:dyDescent="0.25">
      <c r="A22" s="2470"/>
      <c r="B22" s="2470"/>
      <c r="C22" s="377"/>
      <c r="D22" s="12" t="s">
        <v>495</v>
      </c>
      <c r="E22" s="690">
        <v>0</v>
      </c>
      <c r="F22" s="759">
        <v>0</v>
      </c>
      <c r="H22" s="654"/>
    </row>
    <row r="23" spans="1:8" ht="15.75" x14ac:dyDescent="0.25">
      <c r="A23" s="2470"/>
      <c r="B23" s="2470"/>
      <c r="C23" s="377" t="s">
        <v>496</v>
      </c>
      <c r="D23" s="12" t="s">
        <v>497</v>
      </c>
      <c r="E23" s="690">
        <v>38866500</v>
      </c>
      <c r="F23" s="755">
        <v>38936700</v>
      </c>
      <c r="H23" s="654"/>
    </row>
    <row r="24" spans="1:8" ht="15.75" x14ac:dyDescent="0.25">
      <c r="A24" s="2470"/>
      <c r="B24" s="2470"/>
      <c r="C24" s="381" t="s">
        <v>708</v>
      </c>
      <c r="D24" s="746" t="s">
        <v>498</v>
      </c>
      <c r="E24" s="691">
        <v>0</v>
      </c>
      <c r="F24" s="693">
        <v>0</v>
      </c>
      <c r="H24" s="654"/>
    </row>
    <row r="25" spans="1:8" ht="15.75" x14ac:dyDescent="0.25">
      <c r="A25" s="2470"/>
      <c r="B25" s="2470"/>
      <c r="C25" s="382" t="s">
        <v>499</v>
      </c>
      <c r="D25" s="383" t="s">
        <v>500</v>
      </c>
      <c r="E25" s="690">
        <v>1792650</v>
      </c>
      <c r="F25" s="694">
        <v>1871700</v>
      </c>
      <c r="H25" s="654"/>
    </row>
    <row r="26" spans="1:8" ht="18.75" customHeight="1" x14ac:dyDescent="0.25">
      <c r="A26" s="2470"/>
      <c r="B26" s="2470"/>
      <c r="C26" s="381" t="s">
        <v>709</v>
      </c>
      <c r="D26" s="746" t="s">
        <v>501</v>
      </c>
      <c r="E26" s="690">
        <v>0</v>
      </c>
      <c r="F26" s="693">
        <v>0</v>
      </c>
      <c r="H26" s="654"/>
    </row>
    <row r="27" spans="1:8" ht="18.75" customHeight="1" x14ac:dyDescent="0.25">
      <c r="A27" s="2470"/>
      <c r="B27" s="659">
        <v>5</v>
      </c>
      <c r="C27" s="381"/>
      <c r="D27" s="746" t="s">
        <v>906</v>
      </c>
      <c r="E27" s="691">
        <v>1112251</v>
      </c>
      <c r="F27" s="746"/>
      <c r="H27" s="654"/>
    </row>
    <row r="28" spans="1:8" ht="16.5" customHeight="1" x14ac:dyDescent="0.25">
      <c r="A28" s="2470"/>
      <c r="B28" s="658"/>
      <c r="C28" s="382"/>
      <c r="D28" s="384" t="s">
        <v>502</v>
      </c>
      <c r="E28" s="690">
        <v>160900834.076125</v>
      </c>
      <c r="F28" s="694">
        <v>172064484.76872501</v>
      </c>
      <c r="H28" s="654"/>
    </row>
    <row r="29" spans="1:8" s="387" customFormat="1" ht="32.25" customHeight="1" thickBot="1" x14ac:dyDescent="0.25">
      <c r="A29" s="385"/>
      <c r="B29" s="385"/>
      <c r="C29" s="408" t="s">
        <v>482</v>
      </c>
      <c r="D29" s="386" t="s">
        <v>503</v>
      </c>
      <c r="E29" s="692">
        <f>E24+E12+E27</f>
        <v>107421556.923875</v>
      </c>
      <c r="F29" s="692">
        <f>F24+F12+F27</f>
        <v>95611485.231274992</v>
      </c>
      <c r="H29" s="655"/>
    </row>
    <row r="30" spans="1:8" s="387" customFormat="1" ht="30.75" customHeight="1" x14ac:dyDescent="0.2">
      <c r="A30" s="2475" t="s">
        <v>711</v>
      </c>
      <c r="B30" s="2476"/>
      <c r="C30" s="2476"/>
      <c r="D30" s="2476"/>
      <c r="E30" s="2476"/>
      <c r="F30" s="2477"/>
      <c r="H30" s="655"/>
    </row>
    <row r="31" spans="1:8" ht="22.5" customHeight="1" x14ac:dyDescent="0.25">
      <c r="A31" s="415"/>
      <c r="B31" s="415"/>
      <c r="C31" s="2487" t="s">
        <v>505</v>
      </c>
      <c r="D31" s="2488"/>
      <c r="E31" s="693">
        <v>243078000</v>
      </c>
      <c r="F31" s="693">
        <f>F32+F36</f>
        <v>255640347</v>
      </c>
      <c r="G31" s="806">
        <f>F31-E31</f>
        <v>12562347</v>
      </c>
      <c r="H31" s="509"/>
    </row>
    <row r="32" spans="1:8" ht="15.75" x14ac:dyDescent="0.25">
      <c r="A32" s="2478" t="s">
        <v>504</v>
      </c>
      <c r="B32" s="2478">
        <v>1</v>
      </c>
      <c r="C32" s="388"/>
      <c r="D32" s="388" t="s">
        <v>506</v>
      </c>
      <c r="E32" s="694">
        <v>186006500</v>
      </c>
      <c r="F32" s="694">
        <f>SUM(F33:F35)</f>
        <v>198486297</v>
      </c>
      <c r="H32" s="510"/>
    </row>
    <row r="33" spans="1:10" ht="15.75" x14ac:dyDescent="0.25">
      <c r="A33" s="2478"/>
      <c r="B33" s="2478"/>
      <c r="C33" s="388"/>
      <c r="D33" s="389" t="s">
        <v>1000</v>
      </c>
      <c r="E33" s="695">
        <v>123783200</v>
      </c>
      <c r="F33" s="695">
        <v>132011047</v>
      </c>
      <c r="H33" s="652"/>
    </row>
    <row r="34" spans="1:10" ht="15.75" x14ac:dyDescent="0.25">
      <c r="A34" s="2478"/>
      <c r="B34" s="2478"/>
      <c r="C34" s="388"/>
      <c r="D34" s="389" t="s">
        <v>1001</v>
      </c>
      <c r="E34" s="695">
        <v>60742800</v>
      </c>
      <c r="F34" s="695">
        <v>64813550</v>
      </c>
      <c r="H34" s="652"/>
    </row>
    <row r="35" spans="1:10" ht="15.75" x14ac:dyDescent="0.25">
      <c r="A35" s="2478"/>
      <c r="B35" s="2478"/>
      <c r="C35" s="388"/>
      <c r="D35" s="389" t="s">
        <v>507</v>
      </c>
      <c r="E35" s="695">
        <v>1480500</v>
      </c>
      <c r="F35" s="695">
        <v>1661700</v>
      </c>
      <c r="H35" s="652"/>
    </row>
    <row r="36" spans="1:10" ht="15.75" x14ac:dyDescent="0.25">
      <c r="A36" s="2478"/>
      <c r="B36" s="2478"/>
      <c r="C36" s="388"/>
      <c r="D36" s="388" t="s">
        <v>684</v>
      </c>
      <c r="E36" s="694">
        <v>57071500</v>
      </c>
      <c r="F36" s="694">
        <f>SUM(F37:F39)</f>
        <v>57154050</v>
      </c>
      <c r="G36" s="806">
        <f>F36-E36</f>
        <v>82550</v>
      </c>
      <c r="H36" s="510"/>
      <c r="J36" s="373">
        <v>60978714.768725008</v>
      </c>
    </row>
    <row r="37" spans="1:10" ht="15.75" x14ac:dyDescent="0.25">
      <c r="A37" s="2478"/>
      <c r="B37" s="2478"/>
      <c r="C37" s="388"/>
      <c r="D37" s="389" t="s">
        <v>1000</v>
      </c>
      <c r="E37" s="695">
        <v>38036000</v>
      </c>
      <c r="F37" s="695">
        <f>36600000+1489967</f>
        <v>38089967</v>
      </c>
      <c r="H37" s="652"/>
    </row>
    <row r="38" spans="1:10" ht="15.75" x14ac:dyDescent="0.25">
      <c r="A38" s="2478"/>
      <c r="B38" s="2478"/>
      <c r="C38" s="388"/>
      <c r="D38" s="389" t="s">
        <v>1001</v>
      </c>
      <c r="E38" s="695">
        <v>19018000</v>
      </c>
      <c r="F38" s="695">
        <f>18300000+744983</f>
        <v>19044983</v>
      </c>
      <c r="H38" s="652"/>
    </row>
    <row r="39" spans="1:10" ht="15.75" x14ac:dyDescent="0.25">
      <c r="A39" s="2478"/>
      <c r="B39" s="2469"/>
      <c r="C39" s="388"/>
      <c r="D39" s="389" t="s">
        <v>507</v>
      </c>
      <c r="E39" s="695">
        <v>17500</v>
      </c>
      <c r="F39" s="695">
        <v>19100</v>
      </c>
      <c r="H39" s="652"/>
    </row>
    <row r="40" spans="1:10" ht="15.75" customHeight="1" x14ac:dyDescent="0.25">
      <c r="A40" s="2478"/>
      <c r="B40" s="2468">
        <v>2</v>
      </c>
      <c r="C40" s="391"/>
      <c r="D40" s="391" t="s">
        <v>509</v>
      </c>
      <c r="E40" s="693">
        <v>38293332</v>
      </c>
      <c r="F40" s="693">
        <f>F41+F44</f>
        <v>39760667</v>
      </c>
      <c r="G40" s="806">
        <f>F40-E40</f>
        <v>1467335</v>
      </c>
      <c r="H40" s="509"/>
    </row>
    <row r="41" spans="1:10" ht="15.75" x14ac:dyDescent="0.25">
      <c r="A41" s="2478"/>
      <c r="B41" s="2478"/>
      <c r="C41" s="388" t="s">
        <v>483</v>
      </c>
      <c r="D41" s="388" t="s">
        <v>1000</v>
      </c>
      <c r="E41" s="694">
        <v>25706666</v>
      </c>
      <c r="F41" s="694">
        <f>F42+F43</f>
        <v>26688667</v>
      </c>
      <c r="H41" s="510"/>
    </row>
    <row r="42" spans="1:10" ht="15.75" x14ac:dyDescent="0.25">
      <c r="A42" s="2478"/>
      <c r="B42" s="2478"/>
      <c r="C42" s="388"/>
      <c r="D42" s="389" t="s">
        <v>510</v>
      </c>
      <c r="E42" s="695">
        <v>373333</v>
      </c>
      <c r="F42" s="695">
        <v>0</v>
      </c>
      <c r="H42" s="652"/>
    </row>
    <row r="43" spans="1:10" ht="15.75" x14ac:dyDescent="0.25">
      <c r="A43" s="2478"/>
      <c r="B43" s="2478"/>
      <c r="C43" s="388"/>
      <c r="D43" s="389" t="s">
        <v>511</v>
      </c>
      <c r="E43" s="695">
        <v>25333333</v>
      </c>
      <c r="F43" s="695">
        <v>26688667</v>
      </c>
      <c r="H43" s="652"/>
    </row>
    <row r="44" spans="1:10" ht="15.75" x14ac:dyDescent="0.25">
      <c r="A44" s="2478"/>
      <c r="B44" s="2478"/>
      <c r="C44" s="388" t="s">
        <v>486</v>
      </c>
      <c r="D44" s="388" t="s">
        <v>1001</v>
      </c>
      <c r="E44" s="694">
        <v>12586666</v>
      </c>
      <c r="F44" s="694">
        <f>F45+F46</f>
        <v>13072000</v>
      </c>
      <c r="H44" s="510"/>
    </row>
    <row r="45" spans="1:10" ht="15.75" x14ac:dyDescent="0.25">
      <c r="A45" s="2478"/>
      <c r="B45" s="2478"/>
      <c r="C45" s="388"/>
      <c r="D45" s="389" t="s">
        <v>510</v>
      </c>
      <c r="E45" s="695">
        <v>53333</v>
      </c>
      <c r="F45" s="695">
        <v>0</v>
      </c>
      <c r="H45" s="652"/>
    </row>
    <row r="46" spans="1:10" ht="15.75" x14ac:dyDescent="0.25">
      <c r="A46" s="2478"/>
      <c r="B46" s="2469"/>
      <c r="C46" s="388"/>
      <c r="D46" s="389" t="s">
        <v>511</v>
      </c>
      <c r="E46" s="695">
        <v>12533333</v>
      </c>
      <c r="F46" s="695">
        <v>13072000</v>
      </c>
      <c r="H46" s="652"/>
    </row>
    <row r="47" spans="1:10" ht="15.75" x14ac:dyDescent="0.25">
      <c r="A47" s="2478"/>
      <c r="B47" s="742">
        <v>4</v>
      </c>
      <c r="C47" s="388"/>
      <c r="D47" s="409" t="s">
        <v>712</v>
      </c>
      <c r="E47" s="693">
        <v>3073400</v>
      </c>
      <c r="F47" s="693">
        <v>0</v>
      </c>
      <c r="H47" s="509"/>
    </row>
    <row r="48" spans="1:10" ht="15.75" x14ac:dyDescent="0.25">
      <c r="A48" s="2478"/>
      <c r="B48" s="742">
        <v>5</v>
      </c>
      <c r="C48" s="741" t="s">
        <v>483</v>
      </c>
      <c r="D48" s="745" t="s">
        <v>508</v>
      </c>
      <c r="E48" s="693">
        <v>3744000</v>
      </c>
      <c r="F48" s="760">
        <v>4189000</v>
      </c>
      <c r="H48" s="509"/>
    </row>
    <row r="49" spans="1:8" ht="27.75" customHeight="1" thickBot="1" x14ac:dyDescent="0.3">
      <c r="A49" s="2482"/>
      <c r="B49" s="392"/>
      <c r="C49" s="408" t="s">
        <v>504</v>
      </c>
      <c r="D49" s="393" t="s">
        <v>512</v>
      </c>
      <c r="E49" s="692">
        <f>E31+E40+E47+E48</f>
        <v>288188732</v>
      </c>
      <c r="F49" s="692">
        <f>F31+F40+F47+F48</f>
        <v>299590014</v>
      </c>
      <c r="G49" s="806">
        <f>F49-E49</f>
        <v>11401282</v>
      </c>
      <c r="H49" s="653"/>
    </row>
    <row r="50" spans="1:8" ht="30" customHeight="1" x14ac:dyDescent="0.25">
      <c r="A50" s="2483" t="s">
        <v>713</v>
      </c>
      <c r="B50" s="2483"/>
      <c r="C50" s="2483"/>
      <c r="D50" s="2483"/>
      <c r="E50" s="2483"/>
      <c r="F50" s="2483"/>
    </row>
    <row r="51" spans="1:8" ht="15.75" x14ac:dyDescent="0.25">
      <c r="A51" s="2467" t="s">
        <v>513</v>
      </c>
      <c r="B51" s="743">
        <v>2</v>
      </c>
      <c r="C51" s="2480" t="s">
        <v>514</v>
      </c>
      <c r="D51" s="2481"/>
      <c r="E51" s="693">
        <v>19971758</v>
      </c>
      <c r="F51" s="693">
        <v>21452000</v>
      </c>
      <c r="G51" s="806">
        <f>F51-E51</f>
        <v>1480242</v>
      </c>
      <c r="H51" s="509"/>
    </row>
    <row r="52" spans="1:8" ht="15.75" customHeight="1" x14ac:dyDescent="0.25">
      <c r="A52" s="2467"/>
      <c r="B52" s="2468">
        <v>3</v>
      </c>
      <c r="C52" s="388"/>
      <c r="D52" s="391" t="s">
        <v>515</v>
      </c>
      <c r="E52" s="693">
        <v>57376540</v>
      </c>
      <c r="F52" s="693">
        <f>SUM(F53:F59)</f>
        <v>57180480</v>
      </c>
      <c r="G52" s="806">
        <f>F52-E52</f>
        <v>-196060</v>
      </c>
      <c r="H52" s="509"/>
    </row>
    <row r="53" spans="1:8" ht="15.75" x14ac:dyDescent="0.25">
      <c r="A53" s="2467"/>
      <c r="B53" s="2478"/>
      <c r="C53" s="388" t="s">
        <v>483</v>
      </c>
      <c r="D53" s="388" t="s">
        <v>721</v>
      </c>
      <c r="E53" s="694">
        <v>14400000</v>
      </c>
      <c r="F53" s="694">
        <v>14400000</v>
      </c>
      <c r="H53" s="510"/>
    </row>
    <row r="54" spans="1:8" ht="15.75" x14ac:dyDescent="0.25">
      <c r="A54" s="2467"/>
      <c r="B54" s="2478"/>
      <c r="C54" s="388" t="s">
        <v>486</v>
      </c>
      <c r="D54" s="388" t="s">
        <v>720</v>
      </c>
      <c r="E54" s="694">
        <v>20100000</v>
      </c>
      <c r="F54" s="694">
        <v>20100000</v>
      </c>
      <c r="H54" s="510"/>
    </row>
    <row r="55" spans="1:8" ht="15.75" x14ac:dyDescent="0.25">
      <c r="A55" s="2467"/>
      <c r="B55" s="2478"/>
      <c r="C55" s="388" t="s">
        <v>496</v>
      </c>
      <c r="D55" s="388" t="s">
        <v>23</v>
      </c>
      <c r="E55" s="694">
        <v>3543040</v>
      </c>
      <c r="F55" s="694">
        <v>3764480</v>
      </c>
      <c r="H55" s="510"/>
    </row>
    <row r="56" spans="1:8" ht="15.75" x14ac:dyDescent="0.25">
      <c r="A56" s="2467"/>
      <c r="B56" s="2478"/>
      <c r="C56" s="388" t="s">
        <v>499</v>
      </c>
      <c r="D56" s="388" t="s">
        <v>24</v>
      </c>
      <c r="E56" s="694">
        <v>3393000</v>
      </c>
      <c r="F56" s="694">
        <f>4095000+25000</f>
        <v>4120000</v>
      </c>
      <c r="H56" s="510"/>
    </row>
    <row r="57" spans="1:8" ht="15.75" x14ac:dyDescent="0.25">
      <c r="A57" s="2467"/>
      <c r="B57" s="2478"/>
      <c r="C57" s="388" t="s">
        <v>25</v>
      </c>
      <c r="D57" s="388" t="s">
        <v>26</v>
      </c>
      <c r="E57" s="694">
        <v>6049500</v>
      </c>
      <c r="F57" s="696">
        <v>4905000</v>
      </c>
      <c r="H57" s="656"/>
    </row>
    <row r="58" spans="1:8" ht="15.75" x14ac:dyDescent="0.25">
      <c r="A58" s="2467"/>
      <c r="B58" s="2478"/>
      <c r="C58" s="388" t="s">
        <v>27</v>
      </c>
      <c r="D58" s="388" t="s">
        <v>28</v>
      </c>
      <c r="E58" s="694">
        <v>4950000</v>
      </c>
      <c r="F58" s="696">
        <v>4950000</v>
      </c>
      <c r="H58" s="656"/>
    </row>
    <row r="59" spans="1:8" ht="15.75" x14ac:dyDescent="0.25">
      <c r="A59" s="2467"/>
      <c r="B59" s="2469"/>
      <c r="C59" s="388" t="s">
        <v>714</v>
      </c>
      <c r="D59" s="390" t="s">
        <v>715</v>
      </c>
      <c r="E59" s="696">
        <v>4941000</v>
      </c>
      <c r="F59" s="696">
        <v>4941000</v>
      </c>
      <c r="H59" s="656"/>
    </row>
    <row r="60" spans="1:8" ht="32.25" customHeight="1" x14ac:dyDescent="0.25">
      <c r="A60" s="2467"/>
      <c r="B60" s="2468">
        <v>4</v>
      </c>
      <c r="C60" s="2471" t="s">
        <v>29</v>
      </c>
      <c r="D60" s="2472"/>
      <c r="E60" s="394">
        <v>11026120</v>
      </c>
      <c r="F60" s="394">
        <f>SUM(F61:F62)</f>
        <v>11915120</v>
      </c>
      <c r="G60" s="806">
        <f>F60-E60</f>
        <v>889000</v>
      </c>
      <c r="H60" s="657"/>
    </row>
    <row r="61" spans="1:8" ht="15.75" x14ac:dyDescent="0.25">
      <c r="A61" s="2467"/>
      <c r="B61" s="2478"/>
      <c r="C61" s="388" t="s">
        <v>483</v>
      </c>
      <c r="D61" s="388" t="s">
        <v>30</v>
      </c>
      <c r="E61" s="696">
        <v>7818120</v>
      </c>
      <c r="F61" s="696">
        <v>7818120</v>
      </c>
      <c r="H61" s="656"/>
    </row>
    <row r="62" spans="1:8" ht="15.75" x14ac:dyDescent="0.25">
      <c r="A62" s="2467"/>
      <c r="B62" s="2469"/>
      <c r="C62" s="388" t="s">
        <v>486</v>
      </c>
      <c r="D62" s="388" t="s">
        <v>31</v>
      </c>
      <c r="E62" s="696">
        <v>3208000</v>
      </c>
      <c r="F62" s="696">
        <v>4097000</v>
      </c>
      <c r="H62" s="656"/>
    </row>
    <row r="63" spans="1:8" ht="15.75" x14ac:dyDescent="0.25">
      <c r="A63" s="2467"/>
      <c r="B63" s="2468">
        <v>5</v>
      </c>
      <c r="C63" s="2484" t="s">
        <v>32</v>
      </c>
      <c r="D63" s="2485"/>
      <c r="E63" s="394">
        <v>89976846</v>
      </c>
      <c r="F63" s="394">
        <f>SUM(F64:F66)</f>
        <v>99485200</v>
      </c>
      <c r="G63" s="806">
        <f>F63-E63</f>
        <v>9508354</v>
      </c>
      <c r="H63" s="657"/>
    </row>
    <row r="64" spans="1:8" ht="15.75" x14ac:dyDescent="0.25">
      <c r="A64" s="2467"/>
      <c r="B64" s="2478"/>
      <c r="C64" s="388" t="s">
        <v>483</v>
      </c>
      <c r="D64" s="388" t="s">
        <v>33</v>
      </c>
      <c r="E64" s="696">
        <v>36148800</v>
      </c>
      <c r="F64" s="696">
        <v>37274880</v>
      </c>
      <c r="H64" s="656"/>
    </row>
    <row r="65" spans="1:8" ht="15.75" x14ac:dyDescent="0.25">
      <c r="A65" s="2479"/>
      <c r="B65" s="2478"/>
      <c r="C65" s="388" t="s">
        <v>486</v>
      </c>
      <c r="D65" s="388" t="s">
        <v>34</v>
      </c>
      <c r="E65" s="696">
        <v>53695806</v>
      </c>
      <c r="F65" s="696">
        <v>62210320</v>
      </c>
      <c r="H65" s="656"/>
    </row>
    <row r="66" spans="1:8" ht="15.75" x14ac:dyDescent="0.25">
      <c r="A66" s="2479"/>
      <c r="B66" s="2478"/>
      <c r="C66" s="410" t="s">
        <v>496</v>
      </c>
      <c r="D66" s="411" t="s">
        <v>716</v>
      </c>
      <c r="E66" s="696">
        <v>132240</v>
      </c>
      <c r="F66" s="761">
        <v>0</v>
      </c>
      <c r="H66" s="656"/>
    </row>
    <row r="67" spans="1:8" ht="31.5" x14ac:dyDescent="0.25">
      <c r="A67" s="2479"/>
      <c r="B67" s="660">
        <v>7</v>
      </c>
      <c r="C67" s="410"/>
      <c r="D67" s="744" t="s">
        <v>907</v>
      </c>
      <c r="E67" s="394">
        <v>1508760</v>
      </c>
      <c r="F67" s="762">
        <v>3017520</v>
      </c>
      <c r="G67" s="806">
        <f>F67-E67</f>
        <v>1508760</v>
      </c>
      <c r="H67" s="656"/>
    </row>
    <row r="68" spans="1:8" ht="33.75" customHeight="1" thickBot="1" x14ac:dyDescent="0.3">
      <c r="A68" s="2479"/>
      <c r="B68" s="412"/>
      <c r="C68" s="408" t="s">
        <v>513</v>
      </c>
      <c r="D68" s="393" t="s">
        <v>35</v>
      </c>
      <c r="E68" s="692">
        <f>E51+E52+E60+E63+E67</f>
        <v>179860024</v>
      </c>
      <c r="F68" s="692">
        <f>F51+F52+F60+F63+F67</f>
        <v>193050320</v>
      </c>
      <c r="G68" s="806">
        <f>F68-E68</f>
        <v>13190296</v>
      </c>
      <c r="H68" s="657"/>
    </row>
    <row r="69" spans="1:8" ht="26.25" customHeight="1" x14ac:dyDescent="0.25">
      <c r="A69" s="2473" t="s">
        <v>717</v>
      </c>
      <c r="B69" s="2473"/>
      <c r="C69" s="2473"/>
      <c r="D69" s="2473"/>
      <c r="E69" s="2473"/>
      <c r="F69" s="2474"/>
      <c r="H69" s="653"/>
    </row>
    <row r="70" spans="1:8" s="396" customFormat="1" ht="34.5" customHeight="1" x14ac:dyDescent="0.2">
      <c r="A70" s="2467" t="s">
        <v>36</v>
      </c>
      <c r="B70" s="2468">
        <v>1</v>
      </c>
      <c r="C70" s="395"/>
      <c r="D70" s="391" t="s">
        <v>37</v>
      </c>
      <c r="E70" s="394">
        <f>E71</f>
        <v>16410300</v>
      </c>
      <c r="F70" s="394">
        <f>F71</f>
        <v>16439940</v>
      </c>
    </row>
    <row r="71" spans="1:8" ht="32.25" customHeight="1" x14ac:dyDescent="0.25">
      <c r="A71" s="2467"/>
      <c r="B71" s="2469"/>
      <c r="C71" s="388" t="s">
        <v>499</v>
      </c>
      <c r="D71" s="378" t="s">
        <v>718</v>
      </c>
      <c r="E71" s="696">
        <v>16410300</v>
      </c>
      <c r="F71" s="696">
        <v>16439940</v>
      </c>
    </row>
    <row r="72" spans="1:8" ht="15.75" customHeight="1" x14ac:dyDescent="0.25">
      <c r="A72" s="2467"/>
      <c r="B72" s="397"/>
      <c r="C72" s="408" t="s">
        <v>36</v>
      </c>
      <c r="D72" s="398" t="s">
        <v>38</v>
      </c>
      <c r="E72" s="763">
        <f>E71</f>
        <v>16410300</v>
      </c>
      <c r="F72" s="763">
        <f>F71</f>
        <v>16439940</v>
      </c>
    </row>
    <row r="73" spans="1:8" ht="16.5" thickBot="1" x14ac:dyDescent="0.3">
      <c r="A73" s="399"/>
      <c r="B73" s="400"/>
      <c r="C73" s="401"/>
      <c r="D73" s="400"/>
      <c r="E73" s="689"/>
      <c r="F73" s="764"/>
    </row>
    <row r="74" spans="1:8" ht="16.5" thickBot="1" x14ac:dyDescent="0.3">
      <c r="A74" s="402"/>
      <c r="B74" s="403"/>
      <c r="C74" s="404"/>
      <c r="D74" s="405" t="s">
        <v>456</v>
      </c>
      <c r="E74" s="765">
        <f>E29+E49+E68+E72</f>
        <v>591880612.92387497</v>
      </c>
      <c r="F74" s="765">
        <f>F29+F49+F68+F72</f>
        <v>604691759.23127496</v>
      </c>
    </row>
    <row r="75" spans="1:8" ht="15.75" x14ac:dyDescent="0.25">
      <c r="A75" s="406"/>
      <c r="B75" s="406"/>
      <c r="C75" s="406"/>
      <c r="D75" s="406"/>
      <c r="E75" s="406"/>
    </row>
    <row r="76" spans="1:8" ht="15.75" x14ac:dyDescent="0.25">
      <c r="A76" s="406"/>
      <c r="B76" s="406"/>
      <c r="C76" s="406"/>
      <c r="D76" s="406"/>
      <c r="E76" s="406"/>
    </row>
  </sheetData>
  <mergeCells count="24">
    <mergeCell ref="A10:F10"/>
    <mergeCell ref="B32:B39"/>
    <mergeCell ref="A32:A49"/>
    <mergeCell ref="A50:F50"/>
    <mergeCell ref="C63:D63"/>
    <mergeCell ref="B11:B26"/>
    <mergeCell ref="C31:D31"/>
    <mergeCell ref="A70:A72"/>
    <mergeCell ref="B70:B71"/>
    <mergeCell ref="A11:A28"/>
    <mergeCell ref="C60:D60"/>
    <mergeCell ref="A69:F69"/>
    <mergeCell ref="A30:F30"/>
    <mergeCell ref="B40:B46"/>
    <mergeCell ref="A51:A68"/>
    <mergeCell ref="C51:D51"/>
    <mergeCell ref="B52:B59"/>
    <mergeCell ref="B60:B62"/>
    <mergeCell ref="B63:B66"/>
    <mergeCell ref="A4:F4"/>
    <mergeCell ref="A6:F6"/>
    <mergeCell ref="A1:F1"/>
    <mergeCell ref="A2:F2"/>
    <mergeCell ref="B9:D9"/>
  </mergeCells>
  <printOptions horizontalCentered="1"/>
  <pageMargins left="0.27559055118110237" right="0.27559055118110237" top="0.78740157480314965" bottom="0.78740157480314965" header="0.51181102362204722" footer="0.51181102362204722"/>
  <pageSetup paperSize="9" scale="70" fitToHeight="0" orientation="portrait" r:id="rId1"/>
  <headerFooter alignWithMargins="0"/>
  <rowBreaks count="1" manualBreakCount="1">
    <brk id="49"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Munka36">
    <tabColor rgb="FFFF0000"/>
    <pageSetUpPr fitToPage="1"/>
  </sheetPr>
  <dimension ref="A1:JE60"/>
  <sheetViews>
    <sheetView view="pageBreakPreview" zoomScale="50" zoomScaleSheetLayoutView="50" workbookViewId="0">
      <selection activeCell="A2" sqref="A2:O2"/>
    </sheetView>
  </sheetViews>
  <sheetFormatPr defaultColWidth="16.42578125" defaultRowHeight="18.75" x14ac:dyDescent="0.3"/>
  <cols>
    <col min="1" max="1" width="13.5703125" style="316" bestFit="1" customWidth="1"/>
    <col min="2" max="2" width="95" style="316" customWidth="1"/>
    <col min="3" max="3" width="4.140625" style="316" hidden="1" customWidth="1"/>
    <col min="4" max="7" width="21.140625" style="316" customWidth="1"/>
    <col min="8" max="8" width="23" style="316" hidden="1" customWidth="1"/>
    <col min="9" max="9" width="19" style="316" customWidth="1"/>
    <col min="10" max="12" width="18.7109375" style="316" customWidth="1"/>
    <col min="13" max="13" width="22.7109375" style="316" hidden="1" customWidth="1"/>
    <col min="14" max="17" width="19.28515625" style="316" customWidth="1"/>
    <col min="18" max="18" width="7.28515625" style="316" hidden="1" customWidth="1"/>
    <col min="19" max="19" width="16.85546875" style="316" customWidth="1"/>
    <col min="20" max="22" width="17.5703125" style="316" customWidth="1"/>
    <col min="23" max="23" width="5.85546875" style="316" hidden="1" customWidth="1"/>
    <col min="24" max="24" width="20.85546875" style="316" customWidth="1"/>
    <col min="25" max="25" width="22.28515625" style="316" customWidth="1"/>
    <col min="26" max="26" width="21.85546875" style="316" customWidth="1"/>
    <col min="27" max="27" width="20.28515625" style="316" customWidth="1"/>
    <col min="28" max="28" width="10.140625" style="316" hidden="1" customWidth="1"/>
    <col min="29" max="29" width="22.140625" style="316" customWidth="1"/>
    <col min="30" max="30" width="23.85546875" style="316" customWidth="1"/>
    <col min="31" max="31" width="21.7109375" style="316" customWidth="1"/>
    <col min="32" max="32" width="17.140625" style="316" customWidth="1"/>
    <col min="33" max="268" width="9.140625" style="316" customWidth="1"/>
    <col min="269" max="269" width="92.5703125" style="316" customWidth="1"/>
    <col min="270" max="270" width="9.140625" style="316" customWidth="1"/>
    <col min="271" max="16384" width="16.42578125" style="316"/>
  </cols>
  <sheetData>
    <row r="1" spans="1:32" s="1889" customFormat="1" ht="28.5" x14ac:dyDescent="0.45">
      <c r="A1" s="2489" t="str">
        <f>Tartalomjegyzék_2017!A1</f>
        <v>Pilisvörösvár Város Önkormányzata Képviselő-testületének 7/2018. (IV. 27.) önkormányzati rendelete</v>
      </c>
      <c r="B1" s="2490"/>
      <c r="C1" s="2490"/>
      <c r="D1" s="2490"/>
      <c r="E1" s="2490"/>
      <c r="F1" s="2490"/>
      <c r="G1" s="2490"/>
      <c r="H1" s="2490"/>
      <c r="I1" s="2490"/>
      <c r="J1" s="2490"/>
      <c r="K1" s="2490"/>
      <c r="L1" s="2490"/>
      <c r="M1" s="2490"/>
      <c r="N1" s="2490"/>
      <c r="O1" s="2490"/>
      <c r="P1" s="2490"/>
      <c r="Q1" s="2490"/>
      <c r="R1" s="2490"/>
      <c r="S1" s="2490"/>
      <c r="T1" s="2490"/>
      <c r="U1" s="2490"/>
      <c r="V1" s="2490"/>
      <c r="W1" s="2490"/>
      <c r="X1" s="2490"/>
      <c r="Y1" s="2490"/>
      <c r="Z1" s="2490"/>
      <c r="AA1" s="2490"/>
      <c r="AB1" s="2490"/>
      <c r="AC1" s="2490"/>
      <c r="AD1" s="2491"/>
      <c r="AE1" s="2491"/>
      <c r="AF1" s="2491"/>
    </row>
    <row r="2" spans="1:32" s="1889" customFormat="1" ht="28.5" x14ac:dyDescent="0.45">
      <c r="A2" s="2489" t="str">
        <f>'11. Bölcsöde'!A2:K2</f>
        <v>az Önkormányzat  2017. évi zárszámadásáról</v>
      </c>
      <c r="B2" s="2490" t="s">
        <v>151</v>
      </c>
      <c r="C2" s="2490"/>
      <c r="D2" s="2490"/>
      <c r="E2" s="2490"/>
      <c r="F2" s="2490"/>
      <c r="G2" s="2490"/>
      <c r="H2" s="2490"/>
      <c r="I2" s="2490"/>
      <c r="J2" s="2490"/>
      <c r="K2" s="2490"/>
      <c r="L2" s="2490"/>
      <c r="M2" s="2490"/>
      <c r="N2" s="2490"/>
      <c r="O2" s="2490"/>
      <c r="P2" s="2490"/>
      <c r="Q2" s="2490"/>
      <c r="R2" s="2490"/>
      <c r="S2" s="2490"/>
      <c r="T2" s="2490"/>
      <c r="U2" s="2490"/>
      <c r="V2" s="2490"/>
      <c r="W2" s="2490"/>
      <c r="X2" s="2490"/>
      <c r="Y2" s="2490"/>
      <c r="Z2" s="2490"/>
      <c r="AA2" s="2490"/>
      <c r="AB2" s="2490"/>
      <c r="AC2" s="2490"/>
      <c r="AD2" s="2491"/>
      <c r="AE2" s="2491"/>
      <c r="AF2" s="2491"/>
    </row>
    <row r="3" spans="1:32" s="1889" customFormat="1" ht="28.5" x14ac:dyDescent="0.45">
      <c r="A3" s="2489" t="str">
        <f>Tartalomjegyzék_2017!B19</f>
        <v>Pilisvörösvár Város Önkormányzat működési és felhalmozási bevételei</v>
      </c>
      <c r="B3" s="2490" t="s">
        <v>362</v>
      </c>
      <c r="C3" s="2490"/>
      <c r="D3" s="2490"/>
      <c r="E3" s="2490"/>
      <c r="F3" s="2490"/>
      <c r="G3" s="2490"/>
      <c r="H3" s="2490"/>
      <c r="I3" s="2490"/>
      <c r="J3" s="2490"/>
      <c r="K3" s="2490"/>
      <c r="L3" s="2490"/>
      <c r="M3" s="2490"/>
      <c r="N3" s="2490"/>
      <c r="O3" s="2490"/>
      <c r="P3" s="2490"/>
      <c r="Q3" s="2490"/>
      <c r="R3" s="2490"/>
      <c r="S3" s="2490"/>
      <c r="T3" s="2490"/>
      <c r="U3" s="2490"/>
      <c r="V3" s="2490"/>
      <c r="W3" s="2490"/>
      <c r="X3" s="2490"/>
      <c r="Y3" s="2490"/>
      <c r="Z3" s="2490"/>
      <c r="AA3" s="2490"/>
      <c r="AB3" s="2490"/>
      <c r="AC3" s="2490"/>
      <c r="AD3" s="2491"/>
      <c r="AE3" s="2491"/>
      <c r="AF3" s="2491"/>
    </row>
    <row r="4" spans="1:32" s="1889" customFormat="1" ht="23.25" customHeight="1" x14ac:dyDescent="0.45">
      <c r="A4" s="1890"/>
      <c r="B4" s="1891"/>
      <c r="C4" s="1891"/>
      <c r="D4" s="1891"/>
      <c r="E4" s="1891"/>
      <c r="F4" s="1891"/>
      <c r="G4" s="1891"/>
      <c r="H4" s="1891"/>
      <c r="I4" s="1891"/>
      <c r="J4" s="1891"/>
      <c r="K4" s="1891"/>
      <c r="L4" s="1891"/>
      <c r="M4" s="1891"/>
      <c r="N4" s="1891"/>
      <c r="O4" s="1891"/>
      <c r="P4" s="1891"/>
      <c r="Q4" s="1891"/>
      <c r="R4" s="1891"/>
      <c r="S4" s="1891"/>
      <c r="T4" s="1891"/>
      <c r="U4" s="1891"/>
      <c r="V4" s="1891"/>
      <c r="W4" s="1891"/>
      <c r="X4" s="1891"/>
      <c r="Y4" s="1891"/>
      <c r="Z4" s="1891"/>
      <c r="AA4" s="1891"/>
      <c r="AB4" s="1891"/>
      <c r="AE4" s="1892"/>
      <c r="AF4" s="1892"/>
    </row>
    <row r="5" spans="1:32" s="1889" customFormat="1" ht="24" customHeight="1" x14ac:dyDescent="0.4">
      <c r="B5" s="1893"/>
      <c r="AE5" s="1892"/>
      <c r="AF5" s="1892" t="s">
        <v>820</v>
      </c>
    </row>
    <row r="6" spans="1:32" s="1889" customFormat="1" ht="28.5" thickBot="1" x14ac:dyDescent="0.45">
      <c r="AE6" s="1892"/>
      <c r="AF6" s="1892" t="s">
        <v>323</v>
      </c>
    </row>
    <row r="7" spans="1:32" s="1888" customFormat="1" ht="129.75" customHeight="1" x14ac:dyDescent="0.2">
      <c r="A7" s="1880" t="s">
        <v>364</v>
      </c>
      <c r="B7" s="1881" t="s">
        <v>363</v>
      </c>
      <c r="C7" s="1882" t="s">
        <v>632</v>
      </c>
      <c r="D7" s="1883" t="str">
        <f>'2.Bevételek_részletes'!D7</f>
        <v>Önkormányzat 2017. évi eredeti előirányzat</v>
      </c>
      <c r="E7" s="1884" t="str">
        <f>'2.Bevételek_részletes'!E7</f>
        <v>Önkormányzat 2017. évi módosított előirányzat 2017.12.31</v>
      </c>
      <c r="F7" s="1884" t="str">
        <f>'2.Bevételek_részletes'!F7</f>
        <v>Önkormányzat 2017. évi Teljesítés 2017.12.31</v>
      </c>
      <c r="G7" s="1885" t="str">
        <f>'2.Bevételek_részletes'!G7</f>
        <v>Teljesítés %-ban</v>
      </c>
      <c r="H7" s="1886" t="s">
        <v>633</v>
      </c>
      <c r="I7" s="1884" t="str">
        <f>'2.Bevételek_részletes'!I7</f>
        <v>Polgármesteri Hivatal 2017. évi eredeti előirányzat</v>
      </c>
      <c r="J7" s="1884" t="str">
        <f>'2.Bevételek_részletes'!J7</f>
        <v>Polgármesteri Hivatal 2017. évi módosított előirányzat 2017.12.31.</v>
      </c>
      <c r="K7" s="1884" t="str">
        <f>'2.Bevételek_részletes'!K7</f>
        <v>Polgármesteri Hivatal  2017. évi Teljesítés 2017.12.31</v>
      </c>
      <c r="L7" s="1884" t="str">
        <f>'2.Bevételek_részletes'!L7</f>
        <v>Teljesítés %-ban</v>
      </c>
      <c r="M7" s="1882" t="s">
        <v>634</v>
      </c>
      <c r="N7" s="1883" t="str">
        <f>'2.Bevételek_részletes'!N7</f>
        <v>Szakorvosi Rendelőintézet 2017. évi eredeti előirányzat</v>
      </c>
      <c r="O7" s="1884" t="str">
        <f>'2.Bevételek_részletes'!O7</f>
        <v>Szakorvosi Rendelőintézet 2017. évi módosított előirányzat 2017.12.31.</v>
      </c>
      <c r="P7" s="1884" t="str">
        <f>'2.Bevételek_részletes'!P7</f>
        <v>Szakorvosi Rendelőintézet   2017. évi Teljesítés 2017.12.31</v>
      </c>
      <c r="Q7" s="1885" t="str">
        <f>'2.Bevételek_részletes'!Q7</f>
        <v>Teljesítés %-ban</v>
      </c>
      <c r="R7" s="1886" t="s">
        <v>638</v>
      </c>
      <c r="S7" s="1884" t="str">
        <f>'2.Bevételek_részletes'!S7</f>
        <v>GESZ és intézményei   2017. évi eredeti előirányzat</v>
      </c>
      <c r="T7" s="1884" t="str">
        <f>'2.Bevételek_részletes'!T7</f>
        <v>GESZ és intézményei 2017. évi módosított előirányzat 2017.12.31.</v>
      </c>
      <c r="U7" s="1884" t="str">
        <f>'2.Bevételek_részletes'!U7</f>
        <v>GESZ és intézményei    2017. évi Teljesítés 2017.12.31</v>
      </c>
      <c r="V7" s="1884" t="str">
        <f>'2.Bevételek_részletes'!V7</f>
        <v>Teljesítés %-ban</v>
      </c>
      <c r="W7" s="1882" t="s">
        <v>628</v>
      </c>
      <c r="X7" s="1883" t="str">
        <f>'2.Bevételek_részletes'!X7</f>
        <v>2017. évi             Eredeti előirányzat Összesen</v>
      </c>
      <c r="Y7" s="1884" t="str">
        <f>'2.Bevételek_részletes'!Y7</f>
        <v>2017. évi módosított előirányzat Összesen 2017.12.31.</v>
      </c>
      <c r="Z7" s="1884" t="str">
        <f>'2.Bevételek_részletes'!Z7</f>
        <v>2017. évi Teljesítés Összesen 2017.12.31</v>
      </c>
      <c r="AA7" s="1885" t="str">
        <f>'2.Bevételek_részletes'!AA7</f>
        <v>Teljesítés %-ban</v>
      </c>
      <c r="AB7" s="1887" t="str">
        <f>'2.Bevételek_részletes'!AB7</f>
        <v>2016. évi            Konszolidált eredeti előirányzat</v>
      </c>
      <c r="AC7" s="1883" t="str">
        <f>'2.Bevételek_részletes'!AC7</f>
        <v>2017. évi            Konszolidált eredeti előirányzat</v>
      </c>
      <c r="AD7" s="1884" t="str">
        <f>'2.Bevételek_részletes'!AD7</f>
        <v>2017. évi Konszolidált módosított előirányzat Összesen 2017.12.31.</v>
      </c>
      <c r="AE7" s="1884" t="str">
        <f>'2.Bevételek_részletes'!AE7</f>
        <v>2017. évi Konszolidált Teljesítés Összesen 2017.12.31</v>
      </c>
      <c r="AF7" s="1885" t="str">
        <f>'2.Bevételek_részletes'!AF7</f>
        <v>Teljesítés %-ban</v>
      </c>
    </row>
    <row r="8" spans="1:32" ht="52.5" x14ac:dyDescent="0.4">
      <c r="A8" s="1823" t="s">
        <v>366</v>
      </c>
      <c r="B8" s="1817" t="s">
        <v>365</v>
      </c>
      <c r="C8" s="1013">
        <v>106309</v>
      </c>
      <c r="D8" s="1829">
        <f>('13. Költségvetési támogatások'!$F29)/1000+1</f>
        <v>95612.485231274986</v>
      </c>
      <c r="E8" s="1830">
        <f>D8+841</f>
        <v>96453.485231274986</v>
      </c>
      <c r="F8" s="1830">
        <v>96453</v>
      </c>
      <c r="G8" s="1831">
        <f>F8/E8%</f>
        <v>99.999496927172899</v>
      </c>
      <c r="H8" s="1832"/>
      <c r="I8" s="1830"/>
      <c r="J8" s="1830"/>
      <c r="K8" s="1830"/>
      <c r="L8" s="1830"/>
      <c r="M8" s="1833"/>
      <c r="N8" s="1829"/>
      <c r="O8" s="1830"/>
      <c r="P8" s="1830"/>
      <c r="Q8" s="1834"/>
      <c r="R8" s="1832"/>
      <c r="S8" s="1830"/>
      <c r="T8" s="1830"/>
      <c r="U8" s="1830"/>
      <c r="V8" s="1830"/>
      <c r="W8" s="1833">
        <f t="shared" ref="W8:Y12" si="0">C8+H8+M8+R8</f>
        <v>106309</v>
      </c>
      <c r="X8" s="1829">
        <f t="shared" si="0"/>
        <v>95612.485231274986</v>
      </c>
      <c r="Y8" s="1830">
        <f t="shared" si="0"/>
        <v>96453.485231274986</v>
      </c>
      <c r="Z8" s="1830">
        <f>F8+K8+P8+U8</f>
        <v>96453</v>
      </c>
      <c r="AA8" s="1835">
        <f>Z8/Y8%</f>
        <v>99.999496927172899</v>
      </c>
      <c r="AB8" s="1836">
        <f t="shared" ref="AB8:AD12" si="1">C8+H8+M8+R8</f>
        <v>106309</v>
      </c>
      <c r="AC8" s="1829">
        <f t="shared" si="1"/>
        <v>95612.485231274986</v>
      </c>
      <c r="AD8" s="1830">
        <f t="shared" si="1"/>
        <v>96453.485231274986</v>
      </c>
      <c r="AE8" s="1830">
        <f>F8+K8+P8+U8</f>
        <v>96453</v>
      </c>
      <c r="AF8" s="1831">
        <f>AE8/AD8%</f>
        <v>99.999496927172899</v>
      </c>
    </row>
    <row r="9" spans="1:32" ht="52.5" x14ac:dyDescent="0.4">
      <c r="A9" s="1823" t="s">
        <v>368</v>
      </c>
      <c r="B9" s="1818" t="s">
        <v>367</v>
      </c>
      <c r="C9" s="1013">
        <v>288189</v>
      </c>
      <c r="D9" s="1829">
        <f>('13. Költségvetési támogatások'!$F49)/1000</f>
        <v>299590.01400000002</v>
      </c>
      <c r="E9" s="1830">
        <f>D9-4189+5341+6105-106+1018+2035-940+2035</f>
        <v>310889.01400000002</v>
      </c>
      <c r="F9" s="1830">
        <v>310889</v>
      </c>
      <c r="G9" s="1831">
        <f t="shared" ref="G9:G24" si="2">F9/E9%</f>
        <v>99.999995496785218</v>
      </c>
      <c r="H9" s="1832"/>
      <c r="I9" s="1830"/>
      <c r="J9" s="1830"/>
      <c r="K9" s="1830"/>
      <c r="L9" s="1830"/>
      <c r="M9" s="1833"/>
      <c r="N9" s="1829"/>
      <c r="O9" s="1830"/>
      <c r="P9" s="1830"/>
      <c r="Q9" s="1834"/>
      <c r="R9" s="1832"/>
      <c r="S9" s="1830"/>
      <c r="T9" s="1830"/>
      <c r="U9" s="1830"/>
      <c r="V9" s="1830"/>
      <c r="W9" s="1833">
        <f t="shared" si="0"/>
        <v>288189</v>
      </c>
      <c r="X9" s="1829">
        <f t="shared" si="0"/>
        <v>299590.01400000002</v>
      </c>
      <c r="Y9" s="1830">
        <f t="shared" si="0"/>
        <v>310889.01400000002</v>
      </c>
      <c r="Z9" s="1830">
        <f t="shared" ref="Z9:Z23" si="3">F9+K9+P9+U9</f>
        <v>310889</v>
      </c>
      <c r="AA9" s="1835">
        <f t="shared" ref="AA9:AA24" si="4">Z9/Y9%</f>
        <v>99.999995496785218</v>
      </c>
      <c r="AB9" s="1836">
        <f t="shared" si="1"/>
        <v>288189</v>
      </c>
      <c r="AC9" s="1829">
        <f t="shared" si="1"/>
        <v>299590.01400000002</v>
      </c>
      <c r="AD9" s="1830">
        <f t="shared" si="1"/>
        <v>310889.01400000002</v>
      </c>
      <c r="AE9" s="1830">
        <f t="shared" ref="AE9:AE22" si="5">F9+K9+P9+U9</f>
        <v>310889</v>
      </c>
      <c r="AF9" s="1831">
        <f t="shared" ref="AF9:AF24" si="6">AE9/AD9%</f>
        <v>99.999995496785218</v>
      </c>
    </row>
    <row r="10" spans="1:32" ht="52.5" x14ac:dyDescent="0.4">
      <c r="A10" s="1823" t="s">
        <v>370</v>
      </c>
      <c r="B10" s="1818" t="s">
        <v>369</v>
      </c>
      <c r="C10" s="1013">
        <v>178351</v>
      </c>
      <c r="D10" s="1829">
        <f>('13. Költségvetési támogatások'!$F68)/1000</f>
        <v>193050.32</v>
      </c>
      <c r="E10" s="1837">
        <f>D10+1250+1138+123+2346+136+1+136+1891+136+1466+1+136+1771+136+1578+136+1572+136+1970-878+2316+1+159+171+1603+2021+171+1916+1530-1530-14740-2377+1187</f>
        <v>200659.32</v>
      </c>
      <c r="F10" s="1837">
        <v>209266</v>
      </c>
      <c r="G10" s="1838">
        <f t="shared" si="2"/>
        <v>104.28920022254636</v>
      </c>
      <c r="H10" s="1832"/>
      <c r="I10" s="1830"/>
      <c r="J10" s="1830"/>
      <c r="K10" s="1830"/>
      <c r="L10" s="1830"/>
      <c r="M10" s="1833"/>
      <c r="N10" s="1829"/>
      <c r="O10" s="1830"/>
      <c r="P10" s="1830"/>
      <c r="Q10" s="1834"/>
      <c r="R10" s="1832"/>
      <c r="S10" s="1830"/>
      <c r="T10" s="1830"/>
      <c r="U10" s="1830"/>
      <c r="V10" s="1830"/>
      <c r="W10" s="1833">
        <f t="shared" si="0"/>
        <v>178351</v>
      </c>
      <c r="X10" s="1829">
        <f t="shared" si="0"/>
        <v>193050.32</v>
      </c>
      <c r="Y10" s="1830">
        <f t="shared" si="0"/>
        <v>200659.32</v>
      </c>
      <c r="Z10" s="1830">
        <f t="shared" si="3"/>
        <v>209266</v>
      </c>
      <c r="AA10" s="1839">
        <f t="shared" si="4"/>
        <v>104.28920022254636</v>
      </c>
      <c r="AB10" s="1836">
        <f t="shared" si="1"/>
        <v>178351</v>
      </c>
      <c r="AC10" s="1829">
        <f t="shared" si="1"/>
        <v>193050.32</v>
      </c>
      <c r="AD10" s="1830">
        <f t="shared" si="1"/>
        <v>200659.32</v>
      </c>
      <c r="AE10" s="1830">
        <f t="shared" si="5"/>
        <v>209266</v>
      </c>
      <c r="AF10" s="1838">
        <f t="shared" si="6"/>
        <v>104.28920022254636</v>
      </c>
    </row>
    <row r="11" spans="1:32" ht="52.5" x14ac:dyDescent="0.4">
      <c r="A11" s="1823" t="s">
        <v>372</v>
      </c>
      <c r="B11" s="1818" t="s">
        <v>371</v>
      </c>
      <c r="C11" s="1013">
        <v>16410</v>
      </c>
      <c r="D11" s="1829">
        <f>('13. Költségvetési támogatások'!$F72)/1000</f>
        <v>16439.939999999999</v>
      </c>
      <c r="E11" s="1837">
        <f>D11+300+256+298+276+289+222+284+282+282+273+274+274</f>
        <v>19749.939999999999</v>
      </c>
      <c r="F11" s="1837">
        <v>19750</v>
      </c>
      <c r="G11" s="1838">
        <f t="shared" si="2"/>
        <v>100.0003037983913</v>
      </c>
      <c r="H11" s="1832"/>
      <c r="I11" s="1830"/>
      <c r="J11" s="1830"/>
      <c r="K11" s="1830"/>
      <c r="L11" s="1830"/>
      <c r="M11" s="1833"/>
      <c r="N11" s="1829"/>
      <c r="O11" s="1830"/>
      <c r="P11" s="1830"/>
      <c r="Q11" s="1834"/>
      <c r="R11" s="1832"/>
      <c r="S11" s="1830"/>
      <c r="T11" s="1830"/>
      <c r="U11" s="1830"/>
      <c r="V11" s="1830"/>
      <c r="W11" s="1833">
        <f t="shared" si="0"/>
        <v>16410</v>
      </c>
      <c r="X11" s="1829">
        <f t="shared" si="0"/>
        <v>16439.939999999999</v>
      </c>
      <c r="Y11" s="1830">
        <f t="shared" si="0"/>
        <v>19749.939999999999</v>
      </c>
      <c r="Z11" s="1830">
        <f t="shared" si="3"/>
        <v>19750</v>
      </c>
      <c r="AA11" s="1839">
        <f t="shared" si="4"/>
        <v>100.0003037983913</v>
      </c>
      <c r="AB11" s="1836">
        <f t="shared" si="1"/>
        <v>16410</v>
      </c>
      <c r="AC11" s="1829">
        <f t="shared" si="1"/>
        <v>16439.939999999999</v>
      </c>
      <c r="AD11" s="1830">
        <f t="shared" si="1"/>
        <v>19749.939999999999</v>
      </c>
      <c r="AE11" s="1830">
        <f t="shared" si="5"/>
        <v>19750</v>
      </c>
      <c r="AF11" s="1838">
        <f t="shared" si="6"/>
        <v>100.0003037983913</v>
      </c>
    </row>
    <row r="12" spans="1:32" ht="52.5" x14ac:dyDescent="0.4">
      <c r="A12" s="1823" t="s">
        <v>70</v>
      </c>
      <c r="B12" s="1818" t="s">
        <v>71</v>
      </c>
      <c r="C12" s="1014"/>
      <c r="D12" s="1840"/>
      <c r="E12" s="1837">
        <f>D12+453+618+256+300+696+841-168+697+298+649-841-300-256-298+635+2617+1+634+2707+634+625+794+1+118+168+617+912+327+617+594-168-285+1530-1</f>
        <v>16022</v>
      </c>
      <c r="F12" s="1837">
        <f>13315+2707</f>
        <v>16022</v>
      </c>
      <c r="G12" s="1838">
        <f t="shared" si="2"/>
        <v>100</v>
      </c>
      <c r="H12" s="1841"/>
      <c r="I12" s="1842"/>
      <c r="J12" s="1842"/>
      <c r="K12" s="1842"/>
      <c r="L12" s="1842"/>
      <c r="M12" s="1843"/>
      <c r="N12" s="1840"/>
      <c r="O12" s="1842"/>
      <c r="P12" s="1842"/>
      <c r="Q12" s="1844"/>
      <c r="R12" s="1841"/>
      <c r="S12" s="1842"/>
      <c r="T12" s="1842"/>
      <c r="U12" s="1842"/>
      <c r="V12" s="1842"/>
      <c r="W12" s="1843">
        <f t="shared" si="0"/>
        <v>0</v>
      </c>
      <c r="X12" s="1829">
        <f t="shared" si="0"/>
        <v>0</v>
      </c>
      <c r="Y12" s="1830">
        <f t="shared" si="0"/>
        <v>16022</v>
      </c>
      <c r="Z12" s="1830">
        <f t="shared" si="3"/>
        <v>16022</v>
      </c>
      <c r="AA12" s="1839">
        <f t="shared" si="4"/>
        <v>100</v>
      </c>
      <c r="AB12" s="1836">
        <f t="shared" si="1"/>
        <v>0</v>
      </c>
      <c r="AC12" s="1829">
        <f t="shared" si="1"/>
        <v>0</v>
      </c>
      <c r="AD12" s="1830">
        <f t="shared" si="1"/>
        <v>16022</v>
      </c>
      <c r="AE12" s="1830">
        <f t="shared" si="5"/>
        <v>16022</v>
      </c>
      <c r="AF12" s="1838">
        <f t="shared" si="6"/>
        <v>100</v>
      </c>
    </row>
    <row r="13" spans="1:32" ht="27" x14ac:dyDescent="0.35">
      <c r="A13" s="1824" t="s">
        <v>374</v>
      </c>
      <c r="B13" s="1819" t="s">
        <v>373</v>
      </c>
      <c r="C13" s="1015">
        <f>SUM(C8:C12)+1</f>
        <v>589260</v>
      </c>
      <c r="D13" s="1845">
        <f>SUM(D8:D12)-1</f>
        <v>604691.75923127495</v>
      </c>
      <c r="E13" s="1846">
        <f>SUM(E8:E12)-1</f>
        <v>643772.75923127495</v>
      </c>
      <c r="F13" s="1846">
        <f>SUM(F8:F12)-1</f>
        <v>652379</v>
      </c>
      <c r="G13" s="1847">
        <f t="shared" si="2"/>
        <v>101.3368445069036</v>
      </c>
      <c r="H13" s="1848">
        <f t="shared" ref="H13:S13" si="7">SUM(H8:H12)</f>
        <v>0</v>
      </c>
      <c r="I13" s="1846">
        <f t="shared" si="7"/>
        <v>0</v>
      </c>
      <c r="J13" s="1846">
        <f t="shared" ref="J13:K13" si="8">SUM(J8:J12)</f>
        <v>0</v>
      </c>
      <c r="K13" s="1846">
        <f t="shared" si="8"/>
        <v>0</v>
      </c>
      <c r="L13" s="1846"/>
      <c r="M13" s="1849">
        <f t="shared" si="7"/>
        <v>0</v>
      </c>
      <c r="N13" s="1845">
        <f t="shared" si="7"/>
        <v>0</v>
      </c>
      <c r="O13" s="1846">
        <f t="shared" ref="O13:R13" si="9">SUM(O8:O12)</f>
        <v>0</v>
      </c>
      <c r="P13" s="1846"/>
      <c r="Q13" s="1850"/>
      <c r="R13" s="1848">
        <f t="shared" si="9"/>
        <v>0</v>
      </c>
      <c r="S13" s="1846">
        <f t="shared" si="7"/>
        <v>0</v>
      </c>
      <c r="T13" s="1846">
        <f t="shared" ref="T13" si="10">SUM(T8:T12)</f>
        <v>0</v>
      </c>
      <c r="U13" s="1846"/>
      <c r="V13" s="1846"/>
      <c r="W13" s="1849">
        <f>SUM(W8:W12)+1</f>
        <v>589260</v>
      </c>
      <c r="X13" s="1845">
        <f>SUM(X8:X12)-1</f>
        <v>604691.75923127495</v>
      </c>
      <c r="Y13" s="1846">
        <f>SUM(Y8:Y12)-1</f>
        <v>643772.75923127495</v>
      </c>
      <c r="Z13" s="1846">
        <f t="shared" si="3"/>
        <v>652379</v>
      </c>
      <c r="AA13" s="1851">
        <f>Z13/Y13%</f>
        <v>101.3368445069036</v>
      </c>
      <c r="AB13" s="1852">
        <f>SUM(AB8:AB12)+1</f>
        <v>589260</v>
      </c>
      <c r="AC13" s="1845">
        <f>SUM(AC8:AC12)-1</f>
        <v>604691.75923127495</v>
      </c>
      <c r="AD13" s="1846">
        <f>SUM(AD8:AD12)-1</f>
        <v>643772.75923127495</v>
      </c>
      <c r="AE13" s="1846">
        <f t="shared" si="5"/>
        <v>652379</v>
      </c>
      <c r="AF13" s="1847">
        <f>AE13/AD13%</f>
        <v>101.3368445069036</v>
      </c>
    </row>
    <row r="14" spans="1:32" ht="52.5" x14ac:dyDescent="0.4">
      <c r="A14" s="1825"/>
      <c r="B14" s="1818" t="s">
        <v>850</v>
      </c>
      <c r="C14" s="1016"/>
      <c r="D14" s="1853"/>
      <c r="E14" s="1837">
        <f>4108</f>
        <v>4108</v>
      </c>
      <c r="F14" s="1837">
        <f>4108</f>
        <v>4108</v>
      </c>
      <c r="G14" s="1838">
        <f t="shared" si="2"/>
        <v>100</v>
      </c>
      <c r="H14" s="1854"/>
      <c r="I14" s="1837"/>
      <c r="J14" s="1837"/>
      <c r="K14" s="1837"/>
      <c r="L14" s="1837"/>
      <c r="M14" s="1855"/>
      <c r="N14" s="1853"/>
      <c r="O14" s="1837"/>
      <c r="P14" s="1837"/>
      <c r="Q14" s="1856"/>
      <c r="R14" s="1854"/>
      <c r="S14" s="1837"/>
      <c r="T14" s="1837"/>
      <c r="U14" s="1837"/>
      <c r="V14" s="1837"/>
      <c r="W14" s="1855"/>
      <c r="X14" s="1853">
        <f t="shared" ref="X14" si="11">D14+I14+N14+S14</f>
        <v>0</v>
      </c>
      <c r="Y14" s="1837">
        <f t="shared" ref="Y14" si="12">E14+J14+O14+T14</f>
        <v>4108</v>
      </c>
      <c r="Z14" s="1837">
        <f t="shared" si="3"/>
        <v>4108</v>
      </c>
      <c r="AA14" s="1839">
        <f>Z14/Y14%</f>
        <v>100</v>
      </c>
      <c r="AB14" s="1857"/>
      <c r="AC14" s="1853">
        <f t="shared" ref="AC14:AD18" si="13">D14+I14+N14+S14</f>
        <v>0</v>
      </c>
      <c r="AD14" s="1837">
        <f t="shared" si="13"/>
        <v>4108</v>
      </c>
      <c r="AE14" s="1837">
        <f t="shared" si="5"/>
        <v>4108</v>
      </c>
      <c r="AF14" s="1838">
        <f>AE14/AD14%</f>
        <v>100</v>
      </c>
    </row>
    <row r="15" spans="1:32" ht="78.75" x14ac:dyDescent="0.4">
      <c r="A15" s="1825"/>
      <c r="B15" s="1818" t="s">
        <v>1546</v>
      </c>
      <c r="C15" s="1016">
        <v>18748</v>
      </c>
      <c r="D15" s="1853">
        <f>($C30*$C29*$C32*$C31)*1.11/1000+3500</f>
        <v>13205.942675</v>
      </c>
      <c r="E15" s="1837">
        <f>D15-168+1405+168+9000+1</f>
        <v>23611.942674999998</v>
      </c>
      <c r="F15" s="1837">
        <f>3037+9000+9283</f>
        <v>21320</v>
      </c>
      <c r="G15" s="1838">
        <f t="shared" si="2"/>
        <v>90.293290532901921</v>
      </c>
      <c r="H15" s="1854"/>
      <c r="I15" s="1837"/>
      <c r="J15" s="1837"/>
      <c r="K15" s="1837">
        <v>518</v>
      </c>
      <c r="L15" s="1837"/>
      <c r="M15" s="1855"/>
      <c r="N15" s="1853"/>
      <c r="O15" s="1837"/>
      <c r="P15" s="1837"/>
      <c r="Q15" s="1856"/>
      <c r="R15" s="1854"/>
      <c r="S15" s="1837"/>
      <c r="T15" s="1837"/>
      <c r="U15" s="1837"/>
      <c r="V15" s="1837"/>
      <c r="W15" s="1855">
        <f t="shared" ref="W15:Y18" si="14">C15+H15+M15+R15</f>
        <v>18748</v>
      </c>
      <c r="X15" s="1853">
        <f t="shared" si="14"/>
        <v>13205.942675</v>
      </c>
      <c r="Y15" s="1837">
        <f t="shared" si="14"/>
        <v>23611.942674999998</v>
      </c>
      <c r="Z15" s="1837">
        <f t="shared" si="3"/>
        <v>21838</v>
      </c>
      <c r="AA15" s="1839">
        <f t="shared" si="4"/>
        <v>92.487095621834527</v>
      </c>
      <c r="AB15" s="1857">
        <f>C15+H15+M15+R15</f>
        <v>18748</v>
      </c>
      <c r="AC15" s="1853">
        <f t="shared" si="13"/>
        <v>13205.942675</v>
      </c>
      <c r="AD15" s="1837">
        <f t="shared" si="13"/>
        <v>23611.942674999998</v>
      </c>
      <c r="AE15" s="1837">
        <f t="shared" si="5"/>
        <v>21838</v>
      </c>
      <c r="AF15" s="1838">
        <f t="shared" si="6"/>
        <v>92.487095621834527</v>
      </c>
    </row>
    <row r="16" spans="1:32" ht="52.5" x14ac:dyDescent="0.4">
      <c r="A16" s="1825"/>
      <c r="B16" s="1818" t="s">
        <v>1547</v>
      </c>
      <c r="C16" s="1013">
        <v>780</v>
      </c>
      <c r="D16" s="1853">
        <v>0</v>
      </c>
      <c r="E16" s="1837">
        <f>4018+508</f>
        <v>4526</v>
      </c>
      <c r="F16" s="1837">
        <v>4526</v>
      </c>
      <c r="G16" s="1838"/>
      <c r="H16" s="1832"/>
      <c r="I16" s="1830"/>
      <c r="J16" s="1830"/>
      <c r="K16" s="1830"/>
      <c r="L16" s="1830"/>
      <c r="M16" s="1833"/>
      <c r="N16" s="1829"/>
      <c r="O16" s="1830"/>
      <c r="P16" s="1830"/>
      <c r="Q16" s="1834"/>
      <c r="R16" s="1832"/>
      <c r="S16" s="1830"/>
      <c r="T16" s="1837">
        <f>'2.Bevételek_részletes'!T9</f>
        <v>152</v>
      </c>
      <c r="U16" s="1837">
        <f>'2.Bevételek_részletes'!U9</f>
        <v>152</v>
      </c>
      <c r="V16" s="1864">
        <f>U16/T16%</f>
        <v>100</v>
      </c>
      <c r="W16" s="1833">
        <f t="shared" si="14"/>
        <v>780</v>
      </c>
      <c r="X16" s="1829">
        <f t="shared" si="14"/>
        <v>0</v>
      </c>
      <c r="Y16" s="1830">
        <f t="shared" si="14"/>
        <v>4678</v>
      </c>
      <c r="Z16" s="1830">
        <f t="shared" si="3"/>
        <v>4678</v>
      </c>
      <c r="AA16" s="1839">
        <f t="shared" si="4"/>
        <v>100</v>
      </c>
      <c r="AB16" s="1836">
        <f>C16+H16+M16+R16</f>
        <v>780</v>
      </c>
      <c r="AC16" s="1829">
        <f t="shared" si="13"/>
        <v>0</v>
      </c>
      <c r="AD16" s="1830">
        <f t="shared" si="13"/>
        <v>4678</v>
      </c>
      <c r="AE16" s="1830">
        <f t="shared" si="5"/>
        <v>4678</v>
      </c>
      <c r="AF16" s="1838">
        <f>AE16/AD16%</f>
        <v>100</v>
      </c>
    </row>
    <row r="17" spans="1:265" ht="52.5" x14ac:dyDescent="0.4">
      <c r="A17" s="1825"/>
      <c r="B17" s="1818" t="s">
        <v>1008</v>
      </c>
      <c r="C17" s="1016"/>
      <c r="D17" s="1853"/>
      <c r="E17" s="1837"/>
      <c r="F17" s="1837"/>
      <c r="G17" s="1838"/>
      <c r="H17" s="1854"/>
      <c r="I17" s="1837"/>
      <c r="J17" s="1837"/>
      <c r="K17" s="1837"/>
      <c r="L17" s="1837"/>
      <c r="M17" s="1855">
        <v>256000</v>
      </c>
      <c r="N17" s="1853">
        <f>'2.Bevételek_részletes'!N9</f>
        <v>262500</v>
      </c>
      <c r="O17" s="1837">
        <f>'2.Bevételek_részletes'!O9</f>
        <v>296767</v>
      </c>
      <c r="P17" s="1837">
        <v>301227</v>
      </c>
      <c r="Q17" s="1838">
        <f>P17/O17%</f>
        <v>101.50286251503705</v>
      </c>
      <c r="R17" s="1854">
        <f>'2.Bevételek_részletes'!R9</f>
        <v>82</v>
      </c>
      <c r="S17" s="1837"/>
      <c r="T17" s="1837"/>
      <c r="U17" s="1837"/>
      <c r="V17" s="1837"/>
      <c r="W17" s="1855">
        <f t="shared" si="14"/>
        <v>256082</v>
      </c>
      <c r="X17" s="1853">
        <f t="shared" si="14"/>
        <v>262500</v>
      </c>
      <c r="Y17" s="1837">
        <f t="shared" si="14"/>
        <v>296767</v>
      </c>
      <c r="Z17" s="1837">
        <f t="shared" si="3"/>
        <v>301227</v>
      </c>
      <c r="AA17" s="1839">
        <f t="shared" si="4"/>
        <v>101.50286251503705</v>
      </c>
      <c r="AB17" s="1857">
        <f>C17+H17+M17+R17</f>
        <v>256082</v>
      </c>
      <c r="AC17" s="1853">
        <f t="shared" si="13"/>
        <v>262500</v>
      </c>
      <c r="AD17" s="1837">
        <f t="shared" si="13"/>
        <v>296767</v>
      </c>
      <c r="AE17" s="1837">
        <f t="shared" si="5"/>
        <v>301227</v>
      </c>
      <c r="AF17" s="1838">
        <f>AE17/AD17%</f>
        <v>101.50286251503705</v>
      </c>
    </row>
    <row r="18" spans="1:265" s="318" customFormat="1" ht="52.5" x14ac:dyDescent="0.4">
      <c r="A18" s="1826" t="s">
        <v>376</v>
      </c>
      <c r="B18" s="1820" t="s">
        <v>375</v>
      </c>
      <c r="C18" s="1017">
        <f>SUM(C15:C17)</f>
        <v>19528</v>
      </c>
      <c r="D18" s="1861">
        <f>SUM(D14:D17)</f>
        <v>13205.942675</v>
      </c>
      <c r="E18" s="1859">
        <f>SUM(E14:E17)</f>
        <v>32245.942674999998</v>
      </c>
      <c r="F18" s="1859">
        <f>SUM(F14:F17)</f>
        <v>29954</v>
      </c>
      <c r="G18" s="1863">
        <f t="shared" si="2"/>
        <v>92.892306799339067</v>
      </c>
      <c r="H18" s="1858">
        <f t="shared" ref="H18:M18" si="15">SUM(H15:H17)</f>
        <v>0</v>
      </c>
      <c r="I18" s="1859">
        <f t="shared" ref="I18:J18" si="16">SUM(I15:I17)</f>
        <v>0</v>
      </c>
      <c r="J18" s="1859">
        <f t="shared" si="16"/>
        <v>0</v>
      </c>
      <c r="K18" s="1859">
        <f t="shared" ref="K18" si="17">SUM(K15:K17)</f>
        <v>518</v>
      </c>
      <c r="L18" s="1859"/>
      <c r="M18" s="1860">
        <f t="shared" si="15"/>
        <v>256000</v>
      </c>
      <c r="N18" s="1861">
        <f t="shared" ref="N18:R18" si="18">SUM(N15:N17)</f>
        <v>262500</v>
      </c>
      <c r="O18" s="1859">
        <f t="shared" si="18"/>
        <v>296767</v>
      </c>
      <c r="P18" s="1859">
        <f t="shared" ref="P18" si="19">SUM(P15:P17)</f>
        <v>301227</v>
      </c>
      <c r="Q18" s="1863">
        <f t="shared" ref="Q18:Q24" si="20">P18/O18%</f>
        <v>101.50286251503705</v>
      </c>
      <c r="R18" s="1858">
        <f t="shared" si="18"/>
        <v>82</v>
      </c>
      <c r="S18" s="1859">
        <f t="shared" ref="S18:T18" si="21">SUM(S15:S17)</f>
        <v>0</v>
      </c>
      <c r="T18" s="1859">
        <f t="shared" si="21"/>
        <v>152</v>
      </c>
      <c r="U18" s="1859">
        <f t="shared" ref="U18" si="22">SUM(U15:U17)</f>
        <v>152</v>
      </c>
      <c r="V18" s="1864">
        <f t="shared" ref="V18:V19" si="23">U18/T18%</f>
        <v>100</v>
      </c>
      <c r="W18" s="1860">
        <f t="shared" si="14"/>
        <v>275610</v>
      </c>
      <c r="X18" s="1861">
        <f t="shared" si="14"/>
        <v>275705.942675</v>
      </c>
      <c r="Y18" s="1859">
        <f t="shared" si="14"/>
        <v>329164.942675</v>
      </c>
      <c r="Z18" s="1859">
        <f t="shared" si="3"/>
        <v>331851</v>
      </c>
      <c r="AA18" s="1864">
        <f t="shared" si="4"/>
        <v>100.81602168905698</v>
      </c>
      <c r="AB18" s="1862">
        <f>C18+H18+M18+R18</f>
        <v>275610</v>
      </c>
      <c r="AC18" s="1861">
        <f t="shared" si="13"/>
        <v>275705.942675</v>
      </c>
      <c r="AD18" s="1859">
        <f t="shared" si="13"/>
        <v>329164.942675</v>
      </c>
      <c r="AE18" s="1859">
        <f t="shared" si="5"/>
        <v>331851</v>
      </c>
      <c r="AF18" s="1863">
        <f t="shared" si="6"/>
        <v>100.81602168905698</v>
      </c>
    </row>
    <row r="19" spans="1:265" ht="51" x14ac:dyDescent="0.35">
      <c r="A19" s="1827" t="s">
        <v>378</v>
      </c>
      <c r="B19" s="1821" t="s">
        <v>377</v>
      </c>
      <c r="C19" s="1018">
        <f>C13+C18</f>
        <v>608788</v>
      </c>
      <c r="D19" s="1865">
        <f>D13+D18</f>
        <v>617897.701906275</v>
      </c>
      <c r="E19" s="1866">
        <f>E13+E18</f>
        <v>676018.701906275</v>
      </c>
      <c r="F19" s="1866">
        <f>F13+F18</f>
        <v>682333</v>
      </c>
      <c r="G19" s="1867">
        <f t="shared" si="2"/>
        <v>100.93404192456801</v>
      </c>
      <c r="H19" s="1868">
        <f t="shared" ref="H19:M19" si="24">H13+H18</f>
        <v>0</v>
      </c>
      <c r="I19" s="1866">
        <f t="shared" ref="I19:J19" si="25">I13+I18</f>
        <v>0</v>
      </c>
      <c r="J19" s="1866">
        <f t="shared" si="25"/>
        <v>0</v>
      </c>
      <c r="K19" s="1866">
        <f t="shared" ref="K19" si="26">K13+K18</f>
        <v>518</v>
      </c>
      <c r="L19" s="1866"/>
      <c r="M19" s="1869">
        <f t="shared" si="24"/>
        <v>256000</v>
      </c>
      <c r="N19" s="1865">
        <f>N13+N18</f>
        <v>262500</v>
      </c>
      <c r="O19" s="1866">
        <f t="shared" ref="O19:R19" si="27">O13+O18</f>
        <v>296767</v>
      </c>
      <c r="P19" s="1866">
        <f t="shared" ref="P19" si="28">P13+P18</f>
        <v>301227</v>
      </c>
      <c r="Q19" s="1867">
        <f t="shared" si="20"/>
        <v>101.50286251503705</v>
      </c>
      <c r="R19" s="1868">
        <f t="shared" si="27"/>
        <v>82</v>
      </c>
      <c r="S19" s="1866">
        <f t="shared" ref="S19:T19" si="29">S13+S18</f>
        <v>0</v>
      </c>
      <c r="T19" s="1866">
        <f t="shared" si="29"/>
        <v>152</v>
      </c>
      <c r="U19" s="1866">
        <f t="shared" ref="U19" si="30">U13+U18</f>
        <v>152</v>
      </c>
      <c r="V19" s="1870">
        <f t="shared" si="23"/>
        <v>100</v>
      </c>
      <c r="W19" s="1869">
        <f t="shared" ref="W19:AB19" si="31">W13+W18</f>
        <v>864870</v>
      </c>
      <c r="X19" s="1865">
        <f>X13+X18</f>
        <v>880397.701906275</v>
      </c>
      <c r="Y19" s="1866">
        <f>Y13+Y18</f>
        <v>972937.701906275</v>
      </c>
      <c r="Z19" s="1866">
        <f>F19+K19+P19+U19</f>
        <v>984230</v>
      </c>
      <c r="AA19" s="1870">
        <f t="shared" si="4"/>
        <v>101.16063937820481</v>
      </c>
      <c r="AB19" s="1871">
        <f t="shared" si="31"/>
        <v>864870</v>
      </c>
      <c r="AC19" s="1865">
        <f t="shared" ref="AC19:AD19" si="32">AC13+AC18</f>
        <v>880397.701906275</v>
      </c>
      <c r="AD19" s="1866">
        <f t="shared" si="32"/>
        <v>972937.701906275</v>
      </c>
      <c r="AE19" s="1866">
        <f>F19+K19+P19+U19</f>
        <v>984230</v>
      </c>
      <c r="AF19" s="1867">
        <f t="shared" si="6"/>
        <v>101.16063937820481</v>
      </c>
    </row>
    <row r="20" spans="1:265" s="2279" customFormat="1" ht="52.5" x14ac:dyDescent="0.4">
      <c r="A20" s="1823" t="s">
        <v>1548</v>
      </c>
      <c r="B20" s="1818" t="s">
        <v>1549</v>
      </c>
      <c r="C20" s="2271"/>
      <c r="D20" s="2272"/>
      <c r="E20" s="2280">
        <f>5737+194</f>
        <v>5931</v>
      </c>
      <c r="F20" s="2280">
        <f>5737+194</f>
        <v>5931</v>
      </c>
      <c r="G20" s="1838">
        <f t="shared" si="2"/>
        <v>100</v>
      </c>
      <c r="H20" s="2274"/>
      <c r="I20" s="2273"/>
      <c r="J20" s="2273"/>
      <c r="K20" s="2273"/>
      <c r="L20" s="2273"/>
      <c r="M20" s="2275"/>
      <c r="N20" s="2272"/>
      <c r="O20" s="2276"/>
      <c r="P20" s="2276"/>
      <c r="Q20" s="2277"/>
      <c r="R20" s="2274"/>
      <c r="S20" s="2273"/>
      <c r="T20" s="2273"/>
      <c r="U20" s="2273"/>
      <c r="V20" s="2273"/>
      <c r="W20" s="2275"/>
      <c r="X20" s="1853">
        <f t="shared" ref="X20:Y22" si="33">D20+I20+N20+S20</f>
        <v>0</v>
      </c>
      <c r="Y20" s="1837">
        <f t="shared" si="33"/>
        <v>5931</v>
      </c>
      <c r="Z20" s="1837">
        <f t="shared" ref="Z20" si="34">F20+K20+P20+U20</f>
        <v>5931</v>
      </c>
      <c r="AA20" s="1839">
        <f t="shared" ref="AA20" si="35">Z20/Y20%</f>
        <v>100</v>
      </c>
      <c r="AB20" s="2278"/>
      <c r="AC20" s="1853">
        <f t="shared" ref="AC20" si="36">D20+I20+N20+S20</f>
        <v>0</v>
      </c>
      <c r="AD20" s="1837">
        <f t="shared" ref="AD20" si="37">E20+J20+O20+T20</f>
        <v>5931</v>
      </c>
      <c r="AE20" s="1837">
        <f t="shared" ref="AE20" si="38">F20+K20+P20+U20</f>
        <v>5931</v>
      </c>
      <c r="AF20" s="1838">
        <f t="shared" ref="AF20" si="39">AE20/AD20%</f>
        <v>100</v>
      </c>
    </row>
    <row r="21" spans="1:265" ht="27.75" x14ac:dyDescent="0.4">
      <c r="A21" s="1823" t="s">
        <v>380</v>
      </c>
      <c r="B21" s="1818" t="s">
        <v>779</v>
      </c>
      <c r="C21" s="1016"/>
      <c r="D21" s="1853"/>
      <c r="E21" s="1837">
        <f>60590+16740</f>
        <v>77330</v>
      </c>
      <c r="F21" s="1837">
        <f>60590+16739+1</f>
        <v>77330</v>
      </c>
      <c r="G21" s="1838">
        <f t="shared" si="2"/>
        <v>100</v>
      </c>
      <c r="H21" s="1854"/>
      <c r="I21" s="1837"/>
      <c r="J21" s="1837"/>
      <c r="K21" s="1837"/>
      <c r="L21" s="1837"/>
      <c r="M21" s="1855"/>
      <c r="N21" s="1853"/>
      <c r="O21" s="1872"/>
      <c r="P21" s="1872"/>
      <c r="Q21" s="1984"/>
      <c r="R21" s="1854"/>
      <c r="S21" s="1837"/>
      <c r="T21" s="1837"/>
      <c r="U21" s="1837"/>
      <c r="V21" s="1837"/>
      <c r="W21" s="1855">
        <f>C21+H21+M21+R21</f>
        <v>0</v>
      </c>
      <c r="X21" s="1853">
        <f t="shared" si="33"/>
        <v>0</v>
      </c>
      <c r="Y21" s="1837">
        <f t="shared" si="33"/>
        <v>77330</v>
      </c>
      <c r="Z21" s="1837">
        <f t="shared" si="3"/>
        <v>77330</v>
      </c>
      <c r="AA21" s="1839">
        <f t="shared" si="4"/>
        <v>100</v>
      </c>
      <c r="AB21" s="1857">
        <f t="shared" ref="AB21:AD22" si="40">C21+H21+M21+R21</f>
        <v>0</v>
      </c>
      <c r="AC21" s="1853">
        <f t="shared" si="40"/>
        <v>0</v>
      </c>
      <c r="AD21" s="1837">
        <f t="shared" si="40"/>
        <v>77330</v>
      </c>
      <c r="AE21" s="1837">
        <f t="shared" si="5"/>
        <v>77330</v>
      </c>
      <c r="AF21" s="1838">
        <f t="shared" si="6"/>
        <v>100</v>
      </c>
    </row>
    <row r="22" spans="1:265" ht="52.5" x14ac:dyDescent="0.4">
      <c r="A22" s="1823" t="s">
        <v>380</v>
      </c>
      <c r="B22" s="1818" t="s">
        <v>379</v>
      </c>
      <c r="C22" s="1016"/>
      <c r="D22" s="1853"/>
      <c r="E22" s="1837">
        <f>266+38250</f>
        <v>38516</v>
      </c>
      <c r="F22" s="1837">
        <f>38250+266</f>
        <v>38516</v>
      </c>
      <c r="G22" s="1838">
        <f t="shared" si="2"/>
        <v>100</v>
      </c>
      <c r="H22" s="1854"/>
      <c r="I22" s="1837"/>
      <c r="J22" s="1837"/>
      <c r="K22" s="1837"/>
      <c r="L22" s="1837"/>
      <c r="M22" s="1855"/>
      <c r="N22" s="1853"/>
      <c r="O22" s="1837">
        <v>2620</v>
      </c>
      <c r="P22" s="1837">
        <v>2620</v>
      </c>
      <c r="Q22" s="1838">
        <f t="shared" si="20"/>
        <v>100</v>
      </c>
      <c r="R22" s="1854"/>
      <c r="S22" s="1837"/>
      <c r="T22" s="1837"/>
      <c r="U22" s="1837"/>
      <c r="V22" s="1837"/>
      <c r="W22" s="1855"/>
      <c r="X22" s="1853">
        <f t="shared" si="33"/>
        <v>0</v>
      </c>
      <c r="Y22" s="1837">
        <f t="shared" si="33"/>
        <v>41136</v>
      </c>
      <c r="Z22" s="1837">
        <f t="shared" si="3"/>
        <v>41136</v>
      </c>
      <c r="AA22" s="1839">
        <f t="shared" si="4"/>
        <v>100</v>
      </c>
      <c r="AB22" s="1857">
        <f t="shared" si="40"/>
        <v>0</v>
      </c>
      <c r="AC22" s="1853">
        <f t="shared" si="40"/>
        <v>0</v>
      </c>
      <c r="AD22" s="1837">
        <f t="shared" si="40"/>
        <v>41136</v>
      </c>
      <c r="AE22" s="1837">
        <f t="shared" si="5"/>
        <v>41136</v>
      </c>
      <c r="AF22" s="1838">
        <f t="shared" si="6"/>
        <v>100</v>
      </c>
    </row>
    <row r="23" spans="1:265" s="322" customFormat="1" ht="51" x14ac:dyDescent="0.35">
      <c r="A23" s="1827" t="s">
        <v>382</v>
      </c>
      <c r="B23" s="1821" t="s">
        <v>381</v>
      </c>
      <c r="C23" s="1018">
        <f t="shared" ref="C23:M23" si="41">SUM(C21:C21)</f>
        <v>0</v>
      </c>
      <c r="D23" s="1865">
        <f>SUM(D20:D22)</f>
        <v>0</v>
      </c>
      <c r="E23" s="1866">
        <f>SUM(E20:E22)</f>
        <v>121777</v>
      </c>
      <c r="F23" s="1866">
        <f>SUM(F20:F22)</f>
        <v>121777</v>
      </c>
      <c r="G23" s="1867">
        <f t="shared" si="2"/>
        <v>100</v>
      </c>
      <c r="H23" s="1868">
        <f t="shared" si="41"/>
        <v>0</v>
      </c>
      <c r="I23" s="1866">
        <f t="shared" ref="I23:J23" si="42">SUM(I21:I21)</f>
        <v>0</v>
      </c>
      <c r="J23" s="1866">
        <f t="shared" si="42"/>
        <v>0</v>
      </c>
      <c r="K23" s="1866">
        <f t="shared" ref="K23" si="43">SUM(K21:K21)</f>
        <v>0</v>
      </c>
      <c r="L23" s="1866"/>
      <c r="M23" s="1869">
        <f t="shared" si="41"/>
        <v>0</v>
      </c>
      <c r="N23" s="1865">
        <f t="shared" ref="N23:R23" si="44">SUM(N21:N21)</f>
        <v>0</v>
      </c>
      <c r="O23" s="1866">
        <f>SUM(O22:O22)</f>
        <v>2620</v>
      </c>
      <c r="P23" s="1866">
        <f>SUM(P22:P22)</f>
        <v>2620</v>
      </c>
      <c r="Q23" s="1867">
        <f t="shared" si="20"/>
        <v>100</v>
      </c>
      <c r="R23" s="1868">
        <f t="shared" si="44"/>
        <v>0</v>
      </c>
      <c r="S23" s="1866">
        <f t="shared" ref="S23:T23" si="45">SUM(S21:S21)</f>
        <v>0</v>
      </c>
      <c r="T23" s="1866">
        <f t="shared" si="45"/>
        <v>0</v>
      </c>
      <c r="U23" s="1866">
        <f t="shared" ref="U23" si="46">SUM(U21:U21)</f>
        <v>0</v>
      </c>
      <c r="V23" s="1866"/>
      <c r="W23" s="1869">
        <f t="shared" ref="W23" si="47">SUM(W21:W21)</f>
        <v>0</v>
      </c>
      <c r="X23" s="1865">
        <f>SUM(X21:X22)</f>
        <v>0</v>
      </c>
      <c r="Y23" s="1866">
        <f>SUM(Y20:Y22)</f>
        <v>124397</v>
      </c>
      <c r="Z23" s="1866">
        <f t="shared" si="3"/>
        <v>124397</v>
      </c>
      <c r="AA23" s="1870">
        <f t="shared" si="4"/>
        <v>100</v>
      </c>
      <c r="AB23" s="1871">
        <f t="shared" ref="AB23:AC23" si="48">SUM(AB21:AB22)</f>
        <v>0</v>
      </c>
      <c r="AC23" s="1865">
        <f t="shared" si="48"/>
        <v>0</v>
      </c>
      <c r="AD23" s="1866">
        <f>SUM(AD20:AD22)</f>
        <v>124397</v>
      </c>
      <c r="AE23" s="1866">
        <f>F23+K23+P23+U23</f>
        <v>124397</v>
      </c>
      <c r="AF23" s="1867">
        <f t="shared" si="6"/>
        <v>100</v>
      </c>
      <c r="AG23" s="321"/>
      <c r="AH23" s="321"/>
      <c r="AI23" s="321"/>
      <c r="AJ23" s="321"/>
      <c r="AK23" s="321"/>
      <c r="AL23" s="319"/>
      <c r="AM23" s="320"/>
      <c r="AN23" s="321"/>
      <c r="AO23" s="321"/>
      <c r="AP23" s="321"/>
      <c r="AQ23" s="321"/>
      <c r="AR23" s="321"/>
      <c r="AS23" s="321"/>
      <c r="AT23" s="321"/>
      <c r="AU23" s="321"/>
      <c r="AV23" s="321"/>
      <c r="AW23" s="321"/>
      <c r="AX23" s="321"/>
      <c r="AY23" s="321"/>
      <c r="AZ23" s="319"/>
      <c r="BA23" s="320"/>
      <c r="BB23" s="321"/>
      <c r="BC23" s="321"/>
      <c r="BD23" s="321"/>
      <c r="BE23" s="321"/>
      <c r="BF23" s="321"/>
      <c r="BG23" s="321"/>
      <c r="BH23" s="321"/>
      <c r="BI23" s="321"/>
      <c r="BJ23" s="321"/>
      <c r="BK23" s="321"/>
      <c r="BL23" s="321"/>
      <c r="BM23" s="321"/>
      <c r="BN23" s="319"/>
      <c r="BO23" s="320"/>
      <c r="BP23" s="321"/>
      <c r="BQ23" s="321"/>
      <c r="BR23" s="321"/>
      <c r="BS23" s="321"/>
      <c r="BT23" s="321"/>
      <c r="BU23" s="321"/>
      <c r="BV23" s="321"/>
      <c r="BW23" s="321"/>
      <c r="BX23" s="321"/>
      <c r="BY23" s="321"/>
      <c r="BZ23" s="321"/>
      <c r="CA23" s="321"/>
      <c r="CB23" s="319"/>
      <c r="CC23" s="320"/>
      <c r="CD23" s="321"/>
      <c r="CE23" s="321"/>
      <c r="CF23" s="321"/>
      <c r="CG23" s="321"/>
      <c r="CH23" s="321"/>
      <c r="CI23" s="321"/>
      <c r="CJ23" s="321"/>
      <c r="CK23" s="321"/>
      <c r="CL23" s="321"/>
      <c r="CM23" s="321"/>
      <c r="CN23" s="321"/>
      <c r="CO23" s="321"/>
      <c r="CP23" s="319"/>
      <c r="CQ23" s="320"/>
      <c r="CR23" s="321"/>
      <c r="CS23" s="321"/>
      <c r="CT23" s="321"/>
      <c r="CU23" s="321"/>
      <c r="CV23" s="321"/>
      <c r="CW23" s="321"/>
      <c r="CX23" s="321"/>
      <c r="CY23" s="321"/>
      <c r="CZ23" s="321"/>
      <c r="DA23" s="321"/>
      <c r="DB23" s="321"/>
      <c r="DC23" s="321"/>
      <c r="DD23" s="319"/>
      <c r="DE23" s="320"/>
      <c r="DF23" s="321"/>
      <c r="DG23" s="321"/>
      <c r="DH23" s="321"/>
      <c r="DI23" s="321"/>
      <c r="DJ23" s="321"/>
      <c r="DK23" s="321"/>
      <c r="DL23" s="321"/>
      <c r="DM23" s="321"/>
      <c r="DN23" s="321"/>
      <c r="DO23" s="321"/>
      <c r="DP23" s="321"/>
      <c r="DQ23" s="321"/>
      <c r="DR23" s="319"/>
      <c r="DS23" s="320"/>
      <c r="DT23" s="321"/>
      <c r="DU23" s="321"/>
      <c r="DV23" s="321"/>
      <c r="DW23" s="321"/>
      <c r="DX23" s="321"/>
      <c r="DY23" s="321"/>
      <c r="DZ23" s="321"/>
      <c r="EA23" s="321"/>
      <c r="EB23" s="321"/>
      <c r="EC23" s="321"/>
      <c r="ED23" s="321"/>
      <c r="EE23" s="321"/>
      <c r="EF23" s="319"/>
      <c r="EG23" s="320"/>
      <c r="EH23" s="321"/>
      <c r="EI23" s="321"/>
      <c r="EJ23" s="321"/>
      <c r="EK23" s="321"/>
      <c r="EL23" s="321"/>
      <c r="EM23" s="321"/>
      <c r="EN23" s="321"/>
      <c r="EO23" s="321"/>
      <c r="EP23" s="321"/>
      <c r="EQ23" s="321"/>
      <c r="ER23" s="321"/>
      <c r="ES23" s="321"/>
      <c r="ET23" s="319"/>
      <c r="EU23" s="320"/>
      <c r="EV23" s="321"/>
      <c r="EW23" s="321"/>
      <c r="EX23" s="321"/>
      <c r="EY23" s="321"/>
      <c r="EZ23" s="321"/>
      <c r="FA23" s="321"/>
      <c r="FB23" s="321"/>
      <c r="FC23" s="321"/>
      <c r="FD23" s="321"/>
      <c r="FE23" s="321"/>
      <c r="FF23" s="321"/>
      <c r="FG23" s="321"/>
      <c r="FH23" s="319"/>
      <c r="FI23" s="320"/>
      <c r="FJ23" s="321"/>
      <c r="FK23" s="321"/>
      <c r="FL23" s="321"/>
      <c r="FM23" s="321"/>
      <c r="FN23" s="321"/>
      <c r="FO23" s="321"/>
      <c r="FP23" s="321"/>
      <c r="FQ23" s="321"/>
      <c r="FR23" s="321"/>
      <c r="FS23" s="321"/>
      <c r="FT23" s="321"/>
      <c r="FU23" s="321"/>
      <c r="FV23" s="319"/>
      <c r="FW23" s="320"/>
      <c r="FX23" s="321"/>
      <c r="FY23" s="321"/>
      <c r="FZ23" s="321"/>
      <c r="GA23" s="321"/>
      <c r="GB23" s="321"/>
      <c r="GC23" s="321"/>
      <c r="GD23" s="321"/>
      <c r="GE23" s="321"/>
      <c r="GF23" s="321"/>
      <c r="GG23" s="321"/>
      <c r="GH23" s="321"/>
      <c r="GI23" s="321"/>
      <c r="GJ23" s="319"/>
      <c r="GK23" s="320"/>
      <c r="GL23" s="321"/>
      <c r="GM23" s="321"/>
      <c r="GN23" s="321"/>
      <c r="GO23" s="321"/>
      <c r="GP23" s="321"/>
      <c r="GQ23" s="321"/>
      <c r="GR23" s="321"/>
      <c r="GS23" s="321"/>
      <c r="GT23" s="321"/>
      <c r="GU23" s="321"/>
      <c r="GV23" s="321"/>
      <c r="GW23" s="321"/>
      <c r="GX23" s="319"/>
      <c r="GY23" s="320"/>
      <c r="GZ23" s="321"/>
      <c r="HA23" s="321"/>
      <c r="HB23" s="321"/>
      <c r="HC23" s="321"/>
      <c r="HD23" s="321"/>
      <c r="HE23" s="321"/>
      <c r="HF23" s="321"/>
      <c r="HG23" s="321"/>
      <c r="HH23" s="321"/>
      <c r="HI23" s="321"/>
      <c r="HJ23" s="321"/>
      <c r="HK23" s="321"/>
      <c r="HL23" s="319"/>
      <c r="HM23" s="320"/>
      <c r="HN23" s="321"/>
      <c r="HO23" s="321"/>
      <c r="HP23" s="321"/>
      <c r="HQ23" s="321"/>
      <c r="HR23" s="321"/>
      <c r="HS23" s="321"/>
      <c r="HT23" s="321"/>
      <c r="HU23" s="321"/>
      <c r="HV23" s="321"/>
      <c r="HW23" s="321"/>
      <c r="HX23" s="321"/>
      <c r="HY23" s="321"/>
      <c r="HZ23" s="319"/>
      <c r="IA23" s="320"/>
      <c r="IB23" s="321"/>
      <c r="IC23" s="321"/>
      <c r="ID23" s="321"/>
      <c r="IE23" s="321"/>
      <c r="IF23" s="321"/>
      <c r="IG23" s="321"/>
      <c r="IH23" s="321"/>
      <c r="II23" s="321"/>
      <c r="IJ23" s="321"/>
      <c r="IK23" s="321"/>
      <c r="IL23" s="321"/>
      <c r="IM23" s="321"/>
      <c r="IN23" s="319"/>
      <c r="IO23" s="320"/>
      <c r="IP23" s="321"/>
      <c r="IQ23" s="321"/>
      <c r="IR23" s="321"/>
      <c r="IS23" s="321"/>
      <c r="IT23" s="321"/>
      <c r="IU23" s="321"/>
      <c r="IV23" s="321"/>
      <c r="IW23" s="321"/>
      <c r="IX23" s="321"/>
      <c r="IY23" s="321"/>
      <c r="IZ23" s="321"/>
      <c r="JA23" s="321"/>
      <c r="JB23" s="319"/>
      <c r="JC23" s="320"/>
      <c r="JD23" s="321"/>
      <c r="JE23" s="321"/>
    </row>
    <row r="24" spans="1:265" s="317" customFormat="1" ht="27.75" thickBot="1" x14ac:dyDescent="0.4">
      <c r="A24" s="1828" t="s">
        <v>141</v>
      </c>
      <c r="B24" s="1822" t="s">
        <v>140</v>
      </c>
      <c r="C24" s="1019">
        <f>C19+C23</f>
        <v>608788</v>
      </c>
      <c r="D24" s="1873">
        <f>D19+D23</f>
        <v>617897.701906275</v>
      </c>
      <c r="E24" s="1874">
        <f>E19+E23</f>
        <v>797795.701906275</v>
      </c>
      <c r="F24" s="1874">
        <f>F19+F23</f>
        <v>804110</v>
      </c>
      <c r="G24" s="1875">
        <f t="shared" si="2"/>
        <v>100.79146805111101</v>
      </c>
      <c r="H24" s="1876">
        <f t="shared" ref="H24:M24" si="49">+H19+H23</f>
        <v>0</v>
      </c>
      <c r="I24" s="1874">
        <f t="shared" ref="I24:J24" si="50">+I19+I23</f>
        <v>0</v>
      </c>
      <c r="J24" s="1874">
        <f t="shared" si="50"/>
        <v>0</v>
      </c>
      <c r="K24" s="1874">
        <f t="shared" ref="K24" si="51">+K19+K23</f>
        <v>518</v>
      </c>
      <c r="L24" s="1874"/>
      <c r="M24" s="1877">
        <f t="shared" si="49"/>
        <v>256000</v>
      </c>
      <c r="N24" s="1873">
        <f t="shared" ref="N24:R24" si="52">+N19+N23</f>
        <v>262500</v>
      </c>
      <c r="O24" s="1874">
        <f t="shared" si="52"/>
        <v>299387</v>
      </c>
      <c r="P24" s="1874">
        <f t="shared" ref="P24" si="53">+P19+P23</f>
        <v>303847</v>
      </c>
      <c r="Q24" s="1875">
        <f t="shared" si="20"/>
        <v>101.48971064207865</v>
      </c>
      <c r="R24" s="1876">
        <f t="shared" si="52"/>
        <v>82</v>
      </c>
      <c r="S24" s="1874">
        <f t="shared" ref="S24:T24" si="54">+S19+S23</f>
        <v>0</v>
      </c>
      <c r="T24" s="1874">
        <f t="shared" si="54"/>
        <v>152</v>
      </c>
      <c r="U24" s="1874">
        <f t="shared" ref="U24" si="55">+U19+U23</f>
        <v>152</v>
      </c>
      <c r="V24" s="1875">
        <f t="shared" ref="V24" si="56">U24/T24%</f>
        <v>100</v>
      </c>
      <c r="W24" s="1877">
        <f t="shared" ref="W24:AC24" si="57">W19+W23</f>
        <v>864870</v>
      </c>
      <c r="X24" s="1873">
        <f t="shared" si="57"/>
        <v>880397.701906275</v>
      </c>
      <c r="Y24" s="1874">
        <f t="shared" ref="Y24" si="58">Y19+Y23</f>
        <v>1097334.701906275</v>
      </c>
      <c r="Z24" s="1874">
        <f>F24+K24+P24+U24</f>
        <v>1108627</v>
      </c>
      <c r="AA24" s="1878">
        <f t="shared" si="4"/>
        <v>101.02906597905891</v>
      </c>
      <c r="AB24" s="1879">
        <f t="shared" si="57"/>
        <v>864870</v>
      </c>
      <c r="AC24" s="1873">
        <f t="shared" si="57"/>
        <v>880397.701906275</v>
      </c>
      <c r="AD24" s="1874">
        <f t="shared" ref="AD24" si="59">AD19+AD23</f>
        <v>1097334.701906275</v>
      </c>
      <c r="AE24" s="1874">
        <f>F24+K24+P24+U24</f>
        <v>1108627</v>
      </c>
      <c r="AF24" s="1875">
        <f t="shared" si="6"/>
        <v>101.02906597905891</v>
      </c>
    </row>
    <row r="25" spans="1:265" x14ac:dyDescent="0.3">
      <c r="A25" s="264"/>
      <c r="B25" s="265"/>
      <c r="C25" s="322"/>
      <c r="D25" s="322"/>
      <c r="E25" s="322"/>
      <c r="F25" s="322"/>
      <c r="G25" s="322"/>
      <c r="H25" s="322"/>
      <c r="I25" s="322"/>
      <c r="J25" s="322"/>
      <c r="K25" s="322"/>
      <c r="L25" s="322"/>
      <c r="M25" s="322"/>
      <c r="N25" s="322"/>
      <c r="O25" s="322"/>
      <c r="P25" s="322"/>
      <c r="Q25" s="322"/>
      <c r="R25" s="322"/>
      <c r="S25" s="322"/>
      <c r="T25" s="322"/>
      <c r="U25" s="322"/>
      <c r="V25" s="322"/>
      <c r="W25" s="322"/>
      <c r="X25" s="322"/>
      <c r="Y25" s="322"/>
      <c r="Z25" s="322"/>
      <c r="AA25" s="322"/>
      <c r="AB25" s="322"/>
    </row>
    <row r="26" spans="1:265" x14ac:dyDescent="0.3">
      <c r="A26" s="266"/>
      <c r="B26" s="267"/>
      <c r="C26" s="322"/>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row>
    <row r="27" spans="1:265" x14ac:dyDescent="0.3">
      <c r="A27" s="264"/>
      <c r="B27" s="268"/>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row>
    <row r="28" spans="1:265" ht="20.25" x14ac:dyDescent="0.3">
      <c r="A28" s="264"/>
      <c r="B28" s="268"/>
      <c r="C28" s="330"/>
      <c r="D28" s="322"/>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row>
    <row r="29" spans="1:265" ht="20.25" x14ac:dyDescent="0.3">
      <c r="A29" s="2497" t="s">
        <v>722</v>
      </c>
      <c r="B29" s="2498"/>
      <c r="C29" s="330">
        <v>81530</v>
      </c>
      <c r="D29" s="418" t="s">
        <v>726</v>
      </c>
      <c r="E29" s="418"/>
      <c r="F29" s="418"/>
      <c r="G29" s="418"/>
      <c r="H29" s="418"/>
      <c r="I29" s="417">
        <f>79155/105000</f>
        <v>0.75385714285714289</v>
      </c>
      <c r="J29" s="888"/>
      <c r="K29" s="888"/>
      <c r="L29" s="888"/>
      <c r="M29" s="2494" t="s">
        <v>727</v>
      </c>
      <c r="N29" s="2495"/>
      <c r="O29" s="2495"/>
      <c r="P29" s="2495"/>
      <c r="Q29" s="2495"/>
      <c r="R29" s="2496"/>
      <c r="S29" s="330">
        <f>111000*I29</f>
        <v>83678.142857142855</v>
      </c>
      <c r="T29" s="601"/>
      <c r="U29" s="601"/>
      <c r="V29" s="601"/>
      <c r="W29" s="601"/>
      <c r="X29" s="322"/>
      <c r="Y29" s="322"/>
      <c r="Z29" s="322"/>
      <c r="AA29" s="322"/>
      <c r="AB29" s="322"/>
    </row>
    <row r="30" spans="1:265" ht="20.25" x14ac:dyDescent="0.3">
      <c r="A30" s="2492" t="s">
        <v>723</v>
      </c>
      <c r="B30" s="2493"/>
      <c r="C30" s="330">
        <v>13</v>
      </c>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322"/>
    </row>
    <row r="31" spans="1:265" ht="20.25" x14ac:dyDescent="0.3">
      <c r="A31" s="2492" t="s">
        <v>724</v>
      </c>
      <c r="B31" s="2493"/>
      <c r="C31" s="416">
        <v>0.75</v>
      </c>
      <c r="D31" s="330"/>
      <c r="E31" s="601"/>
      <c r="F31" s="601"/>
      <c r="G31" s="601"/>
      <c r="H31" s="601"/>
      <c r="I31" s="322"/>
      <c r="J31" s="322"/>
      <c r="K31" s="322"/>
      <c r="L31" s="322"/>
      <c r="M31" s="322"/>
      <c r="N31" s="322"/>
      <c r="O31" s="322"/>
      <c r="P31" s="322"/>
      <c r="Q31" s="322"/>
      <c r="R31" s="322"/>
      <c r="S31" s="322"/>
      <c r="T31" s="322"/>
      <c r="U31" s="322"/>
      <c r="V31" s="322"/>
      <c r="W31" s="322"/>
      <c r="X31" s="322"/>
      <c r="Y31" s="322"/>
      <c r="Z31" s="322"/>
      <c r="AA31" s="322"/>
      <c r="AB31" s="322"/>
    </row>
    <row r="32" spans="1:265" ht="18.75" customHeight="1" x14ac:dyDescent="0.3">
      <c r="A32" s="2492" t="s">
        <v>725</v>
      </c>
      <c r="B32" s="2493"/>
      <c r="C32" s="322">
        <v>11</v>
      </c>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row>
    <row r="33" spans="1:28" x14ac:dyDescent="0.3">
      <c r="A33" s="264"/>
      <c r="B33" s="268"/>
      <c r="C33" s="322"/>
      <c r="D33" s="322"/>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row>
    <row r="34" spans="1:28" x14ac:dyDescent="0.3">
      <c r="A34" s="264"/>
      <c r="B34" s="268"/>
      <c r="C34" s="322"/>
      <c r="D34" s="322"/>
      <c r="E34" s="322"/>
      <c r="F34" s="322"/>
      <c r="G34" s="322"/>
      <c r="H34" s="322"/>
      <c r="I34" s="322"/>
      <c r="J34" s="322"/>
      <c r="K34" s="322"/>
      <c r="L34" s="322"/>
      <c r="M34" s="322"/>
      <c r="N34" s="322"/>
      <c r="O34" s="322"/>
      <c r="P34" s="322"/>
      <c r="Q34" s="322"/>
      <c r="R34" s="322"/>
      <c r="S34" s="322"/>
      <c r="T34" s="322"/>
      <c r="U34" s="322"/>
      <c r="V34" s="322"/>
      <c r="W34" s="322"/>
      <c r="X34" s="322"/>
      <c r="Y34" s="322"/>
      <c r="Z34" s="322"/>
      <c r="AA34" s="322"/>
      <c r="AB34" s="322"/>
    </row>
    <row r="35" spans="1:28" x14ac:dyDescent="0.3">
      <c r="A35" s="264"/>
      <c r="B35" s="268"/>
      <c r="C35" s="322"/>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row>
    <row r="36" spans="1:28" x14ac:dyDescent="0.3">
      <c r="A36" s="266"/>
      <c r="B36" s="269"/>
      <c r="C36" s="322"/>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row>
    <row r="37" spans="1:28" x14ac:dyDescent="0.3">
      <c r="A37" s="264"/>
      <c r="B37" s="268"/>
      <c r="C37" s="322"/>
      <c r="D37" s="322"/>
      <c r="E37" s="322"/>
      <c r="F37" s="322"/>
      <c r="G37" s="322"/>
      <c r="H37" s="322"/>
      <c r="I37" s="322"/>
      <c r="J37" s="322"/>
      <c r="K37" s="322"/>
      <c r="L37" s="322"/>
      <c r="M37" s="322"/>
      <c r="N37" s="322"/>
      <c r="O37" s="322"/>
      <c r="P37" s="322"/>
      <c r="Q37" s="322"/>
      <c r="R37" s="322"/>
      <c r="S37" s="322"/>
      <c r="T37" s="322"/>
      <c r="U37" s="322"/>
      <c r="V37" s="322"/>
      <c r="W37" s="322"/>
      <c r="X37" s="322"/>
      <c r="Y37" s="322"/>
      <c r="Z37" s="322"/>
      <c r="AA37" s="322"/>
      <c r="AB37" s="322"/>
    </row>
    <row r="38" spans="1:28" x14ac:dyDescent="0.3">
      <c r="A38" s="264"/>
      <c r="B38" s="268"/>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row>
    <row r="39" spans="1:28" x14ac:dyDescent="0.3">
      <c r="A39" s="266"/>
      <c r="B39" s="267"/>
      <c r="C39" s="322"/>
      <c r="D39" s="322"/>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row>
    <row r="40" spans="1:28" x14ac:dyDescent="0.3">
      <c r="A40" s="264"/>
      <c r="B40" s="268"/>
      <c r="C40" s="323"/>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row>
    <row r="41" spans="1:28" x14ac:dyDescent="0.3">
      <c r="A41" s="266"/>
      <c r="B41" s="267"/>
      <c r="C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row>
    <row r="42" spans="1:28" ht="17.25" customHeight="1" x14ac:dyDescent="0.3">
      <c r="A42" s="264"/>
      <c r="B42" s="265"/>
      <c r="C42" s="322"/>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row>
    <row r="43" spans="1:28" x14ac:dyDescent="0.3">
      <c r="A43" s="264"/>
      <c r="B43" s="268"/>
      <c r="C43" s="322"/>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row>
    <row r="44" spans="1:28" x14ac:dyDescent="0.3">
      <c r="A44" s="266"/>
      <c r="B44" s="267"/>
      <c r="C44" s="322"/>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row>
    <row r="45" spans="1:28" x14ac:dyDescent="0.3">
      <c r="A45" s="270"/>
      <c r="B45" s="271"/>
      <c r="C45" s="322"/>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row>
    <row r="46" spans="1:28" x14ac:dyDescent="0.3">
      <c r="A46" s="272"/>
      <c r="B46" s="621"/>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row>
    <row r="47" spans="1:28" x14ac:dyDescent="0.3">
      <c r="A47" s="272"/>
      <c r="B47" s="621"/>
      <c r="C47" s="322"/>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row>
    <row r="48" spans="1:28" x14ac:dyDescent="0.3">
      <c r="A48" s="265"/>
      <c r="B48" s="268"/>
      <c r="C48" s="322"/>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row>
    <row r="49" spans="1:28" x14ac:dyDescent="0.3">
      <c r="A49" s="267"/>
      <c r="B49" s="269"/>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row>
    <row r="50" spans="1:28" x14ac:dyDescent="0.3">
      <c r="A50" s="265"/>
      <c r="B50" s="265"/>
      <c r="C50" s="322"/>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row>
    <row r="51" spans="1:28" x14ac:dyDescent="0.3">
      <c r="A51" s="265"/>
      <c r="B51" s="265"/>
      <c r="C51" s="322"/>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row>
    <row r="52" spans="1:28" x14ac:dyDescent="0.3">
      <c r="A52" s="267"/>
      <c r="B52" s="267"/>
      <c r="C52" s="322"/>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row>
    <row r="53" spans="1:28" x14ac:dyDescent="0.3">
      <c r="A53" s="265"/>
      <c r="B53" s="273"/>
      <c r="C53" s="322"/>
      <c r="D53" s="322"/>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row>
    <row r="54" spans="1:28" x14ac:dyDescent="0.3">
      <c r="A54" s="265"/>
      <c r="B54" s="273"/>
      <c r="C54" s="323"/>
      <c r="D54" s="323"/>
      <c r="E54" s="323"/>
      <c r="F54" s="323"/>
      <c r="G54" s="323"/>
      <c r="H54" s="323"/>
      <c r="I54" s="323"/>
      <c r="J54" s="323"/>
      <c r="K54" s="323"/>
      <c r="L54" s="323"/>
      <c r="M54" s="323"/>
      <c r="N54" s="323"/>
      <c r="O54" s="323"/>
      <c r="P54" s="323"/>
      <c r="Q54" s="323"/>
      <c r="R54" s="323"/>
      <c r="S54" s="323"/>
      <c r="T54" s="323"/>
      <c r="U54" s="323"/>
      <c r="V54" s="323"/>
      <c r="W54" s="323"/>
      <c r="X54" s="323"/>
      <c r="Y54" s="323"/>
      <c r="Z54" s="323"/>
      <c r="AA54" s="323"/>
      <c r="AB54" s="323"/>
    </row>
    <row r="55" spans="1:28" x14ac:dyDescent="0.3">
      <c r="A55" s="265"/>
      <c r="B55" s="268"/>
      <c r="C55" s="322"/>
      <c r="D55" s="322"/>
      <c r="E55" s="322"/>
      <c r="F55" s="322"/>
      <c r="G55" s="322"/>
      <c r="H55" s="322"/>
      <c r="I55" s="322"/>
      <c r="J55" s="322"/>
      <c r="K55" s="322"/>
      <c r="L55" s="322"/>
      <c r="M55" s="322"/>
      <c r="N55" s="322"/>
      <c r="O55" s="322"/>
      <c r="P55" s="322"/>
      <c r="Q55" s="322"/>
      <c r="R55" s="322"/>
      <c r="S55" s="322"/>
      <c r="T55" s="322"/>
      <c r="U55" s="322"/>
      <c r="V55" s="322"/>
      <c r="W55" s="322"/>
      <c r="X55" s="322"/>
      <c r="Y55" s="322"/>
      <c r="Z55" s="322"/>
      <c r="AA55" s="322"/>
      <c r="AB55" s="322"/>
    </row>
    <row r="56" spans="1:28" x14ac:dyDescent="0.3">
      <c r="A56" s="267"/>
      <c r="B56" s="269"/>
      <c r="C56" s="322"/>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row>
    <row r="57" spans="1:28" x14ac:dyDescent="0.3">
      <c r="A57" s="267"/>
      <c r="B57" s="269"/>
      <c r="C57" s="322"/>
      <c r="D57" s="322"/>
      <c r="E57" s="322"/>
      <c r="F57" s="322"/>
      <c r="G57" s="322"/>
      <c r="H57" s="322"/>
      <c r="I57" s="322"/>
      <c r="J57" s="322"/>
      <c r="K57" s="322"/>
      <c r="L57" s="322"/>
      <c r="M57" s="322"/>
      <c r="N57" s="322"/>
      <c r="O57" s="322"/>
      <c r="P57" s="322"/>
      <c r="Q57" s="322"/>
      <c r="R57" s="322"/>
      <c r="S57" s="322"/>
      <c r="T57" s="322"/>
      <c r="U57" s="322"/>
      <c r="V57" s="322"/>
      <c r="W57" s="322"/>
      <c r="X57" s="322"/>
      <c r="Y57" s="322"/>
      <c r="Z57" s="322"/>
      <c r="AA57" s="322"/>
      <c r="AB57" s="322"/>
    </row>
    <row r="58" spans="1:28" x14ac:dyDescent="0.3">
      <c r="A58" s="274"/>
      <c r="B58" s="275"/>
      <c r="C58" s="322"/>
      <c r="D58" s="322"/>
      <c r="E58" s="322"/>
      <c r="F58" s="322"/>
      <c r="G58" s="322"/>
      <c r="H58" s="322"/>
      <c r="I58" s="322"/>
      <c r="J58" s="322"/>
      <c r="K58" s="322"/>
      <c r="L58" s="322"/>
      <c r="M58" s="322"/>
      <c r="N58" s="322"/>
      <c r="O58" s="322"/>
      <c r="P58" s="322"/>
      <c r="Q58" s="322"/>
      <c r="R58" s="322"/>
      <c r="S58" s="322"/>
      <c r="T58" s="322"/>
      <c r="U58" s="322"/>
      <c r="V58" s="322"/>
      <c r="W58" s="322"/>
      <c r="X58" s="322"/>
      <c r="Y58" s="322"/>
      <c r="Z58" s="322"/>
      <c r="AA58" s="322"/>
      <c r="AB58" s="322"/>
    </row>
    <row r="59" spans="1:28" x14ac:dyDescent="0.3">
      <c r="A59" s="276"/>
      <c r="B59" s="277"/>
      <c r="C59" s="278"/>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row>
    <row r="60" spans="1:28" x14ac:dyDescent="0.3">
      <c r="A60" s="322"/>
      <c r="B60" s="322"/>
      <c r="C60" s="322"/>
      <c r="D60" s="322"/>
      <c r="E60" s="322"/>
      <c r="F60" s="322"/>
      <c r="G60" s="322"/>
      <c r="H60" s="322"/>
      <c r="I60" s="322"/>
      <c r="J60" s="322"/>
      <c r="K60" s="322"/>
      <c r="L60" s="322"/>
      <c r="M60" s="322"/>
      <c r="N60" s="322"/>
      <c r="O60" s="322"/>
      <c r="P60" s="322"/>
      <c r="Q60" s="322"/>
      <c r="R60" s="322"/>
      <c r="S60" s="322"/>
      <c r="T60" s="322"/>
      <c r="U60" s="322"/>
      <c r="V60" s="322"/>
      <c r="W60" s="322"/>
      <c r="X60" s="322"/>
      <c r="Y60" s="322"/>
      <c r="Z60" s="322"/>
      <c r="AA60" s="322"/>
      <c r="AB60" s="322"/>
    </row>
  </sheetData>
  <mergeCells count="8">
    <mergeCell ref="A1:AF1"/>
    <mergeCell ref="A2:AF2"/>
    <mergeCell ref="A3:AF3"/>
    <mergeCell ref="A32:B32"/>
    <mergeCell ref="M29:R29"/>
    <mergeCell ref="A29:B29"/>
    <mergeCell ref="A30:B30"/>
    <mergeCell ref="A31:B31"/>
  </mergeCells>
  <phoneticPr fontId="62" type="noConversion"/>
  <printOptions horizontalCentered="1"/>
  <pageMargins left="0.2" right="0.2" top="0.74803149606299213" bottom="0.74803149606299213" header="0.31496062992125984" footer="0.31496062992125984"/>
  <pageSetup paperSize="8" scale="39" fitToHeight="0" orientation="landscape"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Munka18">
    <tabColor rgb="FFFF0000"/>
    <pageSetUpPr fitToPage="1"/>
  </sheetPr>
  <dimension ref="A1:T55"/>
  <sheetViews>
    <sheetView view="pageBreakPreview" zoomScale="60" workbookViewId="0">
      <selection activeCell="A2" sqref="A2:O2"/>
    </sheetView>
  </sheetViews>
  <sheetFormatPr defaultRowHeight="15.75" x14ac:dyDescent="0.25"/>
  <cols>
    <col min="1" max="1" width="9.140625" style="5"/>
    <col min="2" max="2" width="13.85546875" style="5" customWidth="1"/>
    <col min="3" max="3" width="83.28515625" style="5" customWidth="1"/>
    <col min="4" max="4" width="19.28515625" style="5" hidden="1" customWidth="1"/>
    <col min="5" max="5" width="23.5703125" style="5" customWidth="1"/>
    <col min="6" max="7" width="23.140625" style="5" customWidth="1"/>
    <col min="8" max="8" width="15" style="5" customWidth="1"/>
    <col min="9" max="9" width="8.140625" style="5" hidden="1" customWidth="1"/>
    <col min="10" max="10" width="24.28515625" style="5" customWidth="1"/>
    <col min="11" max="11" width="23" style="5" customWidth="1"/>
    <col min="12" max="12" width="22" style="5" customWidth="1"/>
    <col min="13" max="13" width="16.28515625" style="5" customWidth="1"/>
    <col min="14" max="15" width="13.28515625" style="5" customWidth="1"/>
    <col min="16" max="16" width="14.7109375" style="5" customWidth="1"/>
    <col min="17" max="17" width="12.5703125" style="5" customWidth="1"/>
    <col min="18" max="18" width="12.140625" style="5" bestFit="1" customWidth="1"/>
    <col min="19" max="247" width="9.140625" style="5"/>
    <col min="248" max="248" width="92.5703125" style="5" customWidth="1"/>
    <col min="249" max="249" width="9.140625" style="5"/>
    <col min="250" max="250" width="16.42578125" style="5" customWidth="1"/>
    <col min="251" max="251" width="16" style="5" customWidth="1"/>
    <col min="252" max="252" width="16.7109375" style="5" customWidth="1"/>
    <col min="253" max="253" width="14.7109375" style="5" customWidth="1"/>
    <col min="254" max="16384" width="9.140625" style="5"/>
  </cols>
  <sheetData>
    <row r="1" spans="1:20" ht="26.25" x14ac:dyDescent="0.4">
      <c r="A1" s="2414" t="str">
        <f>Tartalomjegyzék_2017!A1</f>
        <v>Pilisvörösvár Város Önkormányzata Képviselő-testületének 7/2018. (IV. 27.) önkormányzati rendelete</v>
      </c>
      <c r="B1" s="2416"/>
      <c r="C1" s="2416"/>
      <c r="D1" s="2416"/>
      <c r="E1" s="2416"/>
      <c r="F1" s="2416"/>
      <c r="G1" s="2416"/>
      <c r="H1" s="2416"/>
      <c r="I1" s="2416"/>
      <c r="J1" s="2416"/>
      <c r="K1" s="2416"/>
      <c r="L1" s="2416"/>
      <c r="M1" s="2416"/>
    </row>
    <row r="2" spans="1:20" ht="26.25" x14ac:dyDescent="0.4">
      <c r="A2" s="294"/>
      <c r="B2" s="2414" t="str">
        <f>Tartalomjegyzék_2017!A2</f>
        <v>az Önkormányzat  2017. évi zárszámadásáról</v>
      </c>
      <c r="C2" s="2416"/>
      <c r="D2" s="2416"/>
      <c r="E2" s="2416"/>
      <c r="F2" s="2416"/>
      <c r="G2" s="2416"/>
      <c r="H2" s="2416"/>
      <c r="I2" s="2416"/>
      <c r="J2" s="2416"/>
      <c r="K2" s="2416"/>
      <c r="L2" s="2416"/>
      <c r="M2" s="294"/>
    </row>
    <row r="3" spans="1:20" ht="26.25" x14ac:dyDescent="0.4">
      <c r="A3" s="2414" t="str">
        <f>Tartalomjegyzék_2017!B20</f>
        <v>Pilisvörösvár Város Önkormányzata és a Pilisvörösvári Polgármesteri Hivatal közhatalmi és működési bevételei</v>
      </c>
      <c r="B3" s="2416"/>
      <c r="C3" s="2416"/>
      <c r="D3" s="2416"/>
      <c r="E3" s="2416"/>
      <c r="F3" s="2416"/>
      <c r="G3" s="2416"/>
      <c r="H3" s="2416"/>
      <c r="I3" s="2416"/>
      <c r="J3" s="2416"/>
      <c r="K3" s="2416"/>
      <c r="L3" s="2416"/>
      <c r="M3" s="2416"/>
    </row>
    <row r="4" spans="1:20" ht="23.25" customHeight="1" x14ac:dyDescent="0.4">
      <c r="A4" s="1451"/>
      <c r="B4" s="1451"/>
      <c r="C4" s="1451"/>
      <c r="D4" s="1451"/>
      <c r="E4" s="1451"/>
      <c r="F4" s="1451"/>
      <c r="G4" s="1451"/>
      <c r="H4" s="1451"/>
      <c r="I4" s="1451"/>
      <c r="J4" s="294"/>
      <c r="K4" s="294"/>
      <c r="L4" s="860"/>
      <c r="M4" s="959" t="s">
        <v>805</v>
      </c>
    </row>
    <row r="5" spans="1:20" ht="26.25" x14ac:dyDescent="0.4">
      <c r="A5" s="294"/>
      <c r="B5" s="294"/>
      <c r="C5" s="1452"/>
      <c r="D5" s="294"/>
      <c r="E5" s="294"/>
      <c r="F5" s="294"/>
      <c r="G5" s="294"/>
      <c r="H5" s="294"/>
      <c r="I5" s="294"/>
      <c r="J5" s="294"/>
      <c r="K5" s="294"/>
      <c r="L5" s="1453"/>
      <c r="M5" s="1453"/>
    </row>
    <row r="6" spans="1:20" ht="27" thickBot="1" x14ac:dyDescent="0.45">
      <c r="A6" s="294"/>
      <c r="B6" s="294"/>
      <c r="C6" s="294"/>
      <c r="D6" s="294"/>
      <c r="E6" s="294"/>
      <c r="F6" s="294"/>
      <c r="G6" s="294"/>
      <c r="H6" s="294"/>
      <c r="I6" s="294"/>
      <c r="J6" s="294"/>
      <c r="K6" s="294"/>
      <c r="L6" s="1454"/>
      <c r="M6" s="1454" t="s">
        <v>323</v>
      </c>
    </row>
    <row r="7" spans="1:20" ht="135" customHeight="1" x14ac:dyDescent="0.25">
      <c r="A7" s="893" t="s">
        <v>3</v>
      </c>
      <c r="B7" s="894" t="s">
        <v>364</v>
      </c>
      <c r="C7" s="1455" t="s">
        <v>363</v>
      </c>
      <c r="D7" s="1456" t="s">
        <v>632</v>
      </c>
      <c r="E7" s="1457" t="str">
        <f>'2.Bevételek_részletes'!D7</f>
        <v>Önkormányzat 2017. évi eredeti előirányzat</v>
      </c>
      <c r="F7" s="1458" t="str">
        <f>'2.Bevételek_részletes'!E7</f>
        <v>Önkormányzat 2017. évi módosított előirányzat 2017.12.31</v>
      </c>
      <c r="G7" s="1458" t="str">
        <f>'2.Bevételek_részletes'!F7</f>
        <v>Önkormányzat 2017. évi Teljesítés 2017.12.31</v>
      </c>
      <c r="H7" s="1459" t="str">
        <f>'2.Bevételek_részletes'!G7</f>
        <v>Teljesítés %-ban</v>
      </c>
      <c r="I7" s="1460" t="s">
        <v>633</v>
      </c>
      <c r="J7" s="1457" t="str">
        <f>'2.Bevételek_részletes'!I7</f>
        <v>Polgármesteri Hivatal 2017. évi eredeti előirányzat</v>
      </c>
      <c r="K7" s="1458" t="str">
        <f>'2.Bevételek_részletes'!J7</f>
        <v>Polgármesteri Hivatal 2017. évi módosított előirányzat 2017.12.31.</v>
      </c>
      <c r="L7" s="1458" t="str">
        <f>'2.Bevételek_részletes'!K7</f>
        <v>Polgármesteri Hivatal  2017. évi Teljesítés 2017.12.31</v>
      </c>
      <c r="M7" s="1459" t="str">
        <f>'2.Bevételek_részletes'!L7</f>
        <v>Teljesítés %-ban</v>
      </c>
      <c r="N7" s="64"/>
    </row>
    <row r="8" spans="1:20" ht="26.25" x14ac:dyDescent="0.4">
      <c r="A8" s="1069">
        <v>1</v>
      </c>
      <c r="B8" s="1467" t="s">
        <v>101</v>
      </c>
      <c r="C8" s="1416" t="s">
        <v>95</v>
      </c>
      <c r="D8" s="1054">
        <v>85000</v>
      </c>
      <c r="E8" s="1261">
        <v>86000</v>
      </c>
      <c r="F8" s="1262">
        <f>E8</f>
        <v>86000</v>
      </c>
      <c r="G8" s="1262">
        <v>84521</v>
      </c>
      <c r="H8" s="1149">
        <f>G8/F8%</f>
        <v>98.280232558139531</v>
      </c>
      <c r="I8" s="1061"/>
      <c r="J8" s="1261"/>
      <c r="K8" s="1262">
        <f>J8</f>
        <v>0</v>
      </c>
      <c r="L8" s="1262">
        <v>0</v>
      </c>
      <c r="M8" s="998"/>
      <c r="O8" s="467"/>
      <c r="P8" s="4"/>
      <c r="Q8" s="4"/>
      <c r="R8" s="4"/>
      <c r="S8" s="4"/>
      <c r="T8" s="4"/>
    </row>
    <row r="9" spans="1:20" ht="26.25" x14ac:dyDescent="0.4">
      <c r="A9" s="1069">
        <v>2</v>
      </c>
      <c r="B9" s="1467" t="s">
        <v>146</v>
      </c>
      <c r="C9" s="1416" t="s">
        <v>1111</v>
      </c>
      <c r="D9" s="1054"/>
      <c r="E9" s="1261"/>
      <c r="F9" s="1262"/>
      <c r="G9" s="1263">
        <f>371+34+123</f>
        <v>528</v>
      </c>
      <c r="H9" s="1149"/>
      <c r="I9" s="1061"/>
      <c r="J9" s="1261"/>
      <c r="K9" s="1262"/>
      <c r="L9" s="1262"/>
      <c r="M9" s="998"/>
      <c r="O9" s="467"/>
      <c r="P9" s="4"/>
      <c r="Q9" s="4"/>
      <c r="R9" s="4"/>
      <c r="S9" s="4"/>
      <c r="T9" s="4"/>
    </row>
    <row r="10" spans="1:20" s="23" customFormat="1" ht="25.5" x14ac:dyDescent="0.35">
      <c r="A10" s="1471">
        <v>3</v>
      </c>
      <c r="B10" s="1468" t="s">
        <v>146</v>
      </c>
      <c r="C10" s="1462" t="s">
        <v>145</v>
      </c>
      <c r="D10" s="1055">
        <f>SUM(D8)</f>
        <v>85000</v>
      </c>
      <c r="E10" s="1264">
        <f>SUM(E8)</f>
        <v>86000</v>
      </c>
      <c r="F10" s="1265">
        <f>SUM(F8)</f>
        <v>86000</v>
      </c>
      <c r="G10" s="1265">
        <f>SUM(G8:G9)</f>
        <v>85049</v>
      </c>
      <c r="H10" s="1150">
        <f t="shared" ref="H10:H52" si="0">G10/F10%</f>
        <v>98.894186046511635</v>
      </c>
      <c r="I10" s="1062"/>
      <c r="J10" s="1264"/>
      <c r="K10" s="1265">
        <f>SUM(K8)</f>
        <v>0</v>
      </c>
      <c r="L10" s="1265">
        <f>SUM(L8)</f>
        <v>0</v>
      </c>
      <c r="M10" s="1051"/>
      <c r="N10" s="650"/>
      <c r="O10" s="651"/>
      <c r="P10" s="651"/>
      <c r="Q10" s="651"/>
      <c r="R10" s="651"/>
      <c r="S10" s="651"/>
      <c r="T10" s="651"/>
    </row>
    <row r="11" spans="1:20" s="24" customFormat="1" ht="26.25" x14ac:dyDescent="0.4">
      <c r="A11" s="1472">
        <v>4</v>
      </c>
      <c r="B11" s="1469" t="s">
        <v>102</v>
      </c>
      <c r="C11" s="1463" t="s">
        <v>96</v>
      </c>
      <c r="D11" s="1056">
        <v>480000</v>
      </c>
      <c r="E11" s="1266">
        <v>488000</v>
      </c>
      <c r="F11" s="1262">
        <f t="shared" ref="F11:F49" si="1">E11</f>
        <v>488000</v>
      </c>
      <c r="G11" s="1262">
        <v>548531</v>
      </c>
      <c r="H11" s="1149">
        <f t="shared" si="0"/>
        <v>112.40389344262294</v>
      </c>
      <c r="I11" s="1063"/>
      <c r="J11" s="1266"/>
      <c r="K11" s="1262"/>
      <c r="L11" s="1262"/>
      <c r="M11" s="998"/>
      <c r="O11" s="4"/>
      <c r="P11" s="485"/>
      <c r="Q11" s="485"/>
      <c r="R11" s="485"/>
      <c r="S11" s="485"/>
      <c r="T11" s="4"/>
    </row>
    <row r="12" spans="1:20" s="24" customFormat="1" ht="26.25" x14ac:dyDescent="0.4">
      <c r="A12" s="1472">
        <v>5</v>
      </c>
      <c r="B12" s="1469" t="s">
        <v>384</v>
      </c>
      <c r="C12" s="1463" t="s">
        <v>383</v>
      </c>
      <c r="D12" s="1056">
        <v>49000</v>
      </c>
      <c r="E12" s="1266">
        <v>51000</v>
      </c>
      <c r="F12" s="1262">
        <f t="shared" si="1"/>
        <v>51000</v>
      </c>
      <c r="G12" s="1262">
        <v>55938</v>
      </c>
      <c r="H12" s="1149">
        <f t="shared" si="0"/>
        <v>109.68235294117648</v>
      </c>
      <c r="I12" s="1063"/>
      <c r="J12" s="1266"/>
      <c r="K12" s="1262"/>
      <c r="L12" s="1262"/>
      <c r="M12" s="998"/>
      <c r="O12" s="4"/>
      <c r="P12" s="485"/>
      <c r="Q12" s="485"/>
      <c r="R12" s="485"/>
      <c r="S12" s="485"/>
      <c r="T12" s="4"/>
    </row>
    <row r="13" spans="1:20" s="24" customFormat="1" ht="26.25" x14ac:dyDescent="0.4">
      <c r="A13" s="1472">
        <v>6</v>
      </c>
      <c r="B13" s="1469" t="s">
        <v>900</v>
      </c>
      <c r="C13" s="1463" t="s">
        <v>958</v>
      </c>
      <c r="D13" s="1056"/>
      <c r="E13" s="1266">
        <v>1400</v>
      </c>
      <c r="F13" s="1262">
        <f t="shared" si="1"/>
        <v>1400</v>
      </c>
      <c r="G13" s="1262">
        <v>1990</v>
      </c>
      <c r="H13" s="1149">
        <f t="shared" si="0"/>
        <v>142.14285714285714</v>
      </c>
      <c r="I13" s="1063"/>
      <c r="J13" s="1266"/>
      <c r="K13" s="1262"/>
      <c r="L13" s="1262"/>
      <c r="M13" s="998"/>
      <c r="O13" s="4"/>
      <c r="P13" s="485"/>
      <c r="Q13" s="485"/>
      <c r="R13" s="485"/>
      <c r="S13" s="485"/>
      <c r="T13" s="4"/>
    </row>
    <row r="14" spans="1:20" s="24" customFormat="1" ht="26.25" x14ac:dyDescent="0.4">
      <c r="A14" s="1472">
        <v>7</v>
      </c>
      <c r="B14" s="1469" t="s">
        <v>900</v>
      </c>
      <c r="C14" s="1463" t="s">
        <v>895</v>
      </c>
      <c r="D14" s="1056"/>
      <c r="E14" s="1266">
        <v>100</v>
      </c>
      <c r="F14" s="1262">
        <f>E14-100</f>
        <v>0</v>
      </c>
      <c r="G14" s="1263">
        <v>0</v>
      </c>
      <c r="H14" s="1149"/>
      <c r="I14" s="1063"/>
      <c r="J14" s="1266"/>
      <c r="K14" s="1262"/>
      <c r="L14" s="1262"/>
      <c r="M14" s="998"/>
      <c r="O14" s="4"/>
      <c r="P14" s="485"/>
      <c r="Q14" s="485"/>
      <c r="R14" s="485"/>
      <c r="S14" s="485"/>
      <c r="T14" s="4"/>
    </row>
    <row r="15" spans="1:20" s="23" customFormat="1" ht="25.5" x14ac:dyDescent="0.35">
      <c r="A15" s="1471">
        <v>8</v>
      </c>
      <c r="B15" s="1468" t="s">
        <v>103</v>
      </c>
      <c r="C15" s="1462" t="s">
        <v>104</v>
      </c>
      <c r="D15" s="1055">
        <f t="shared" ref="D15:J15" si="2">SUM(D11:D12)</f>
        <v>529000</v>
      </c>
      <c r="E15" s="1264">
        <f>SUM(E11:E14)</f>
        <v>540500</v>
      </c>
      <c r="F15" s="1265">
        <f>SUM(F11:F14)</f>
        <v>540400</v>
      </c>
      <c r="G15" s="1265">
        <f>SUM(G11:G14)</f>
        <v>606459</v>
      </c>
      <c r="H15" s="1150">
        <f t="shared" si="0"/>
        <v>112.22409326424871</v>
      </c>
      <c r="I15" s="1062">
        <f t="shared" si="2"/>
        <v>0</v>
      </c>
      <c r="J15" s="1264">
        <f t="shared" si="2"/>
        <v>0</v>
      </c>
      <c r="K15" s="1265">
        <f>SUM(K11:K14)</f>
        <v>0</v>
      </c>
      <c r="L15" s="1265">
        <f>SUM(L11:L14)</f>
        <v>0</v>
      </c>
      <c r="M15" s="1051"/>
      <c r="N15" s="650"/>
      <c r="O15" s="651"/>
      <c r="P15" s="651"/>
      <c r="Q15" s="651"/>
      <c r="R15" s="651"/>
      <c r="S15" s="651"/>
      <c r="T15" s="651"/>
    </row>
    <row r="16" spans="1:20" ht="26.25" x14ac:dyDescent="0.4">
      <c r="A16" s="1069">
        <v>9</v>
      </c>
      <c r="B16" s="1467" t="s">
        <v>105</v>
      </c>
      <c r="C16" s="1416" t="s">
        <v>98</v>
      </c>
      <c r="D16" s="1057">
        <v>0</v>
      </c>
      <c r="E16" s="1261">
        <f>D16</f>
        <v>0</v>
      </c>
      <c r="F16" s="1262">
        <f t="shared" si="1"/>
        <v>0</v>
      </c>
      <c r="G16" s="1262"/>
      <c r="H16" s="1149"/>
      <c r="I16" s="1064">
        <v>500</v>
      </c>
      <c r="J16" s="1261">
        <v>600</v>
      </c>
      <c r="K16" s="1262">
        <f>J16-600</f>
        <v>0</v>
      </c>
      <c r="L16" s="1262">
        <v>0</v>
      </c>
      <c r="M16" s="998"/>
      <c r="N16" s="26"/>
      <c r="O16" s="4"/>
      <c r="P16" s="4"/>
      <c r="Q16" s="4"/>
      <c r="R16" s="4"/>
      <c r="S16" s="4"/>
      <c r="T16" s="4"/>
    </row>
    <row r="17" spans="1:14" ht="26.25" x14ac:dyDescent="0.4">
      <c r="A17" s="1069">
        <v>10</v>
      </c>
      <c r="B17" s="1467" t="s">
        <v>142</v>
      </c>
      <c r="C17" s="1416" t="s">
        <v>143</v>
      </c>
      <c r="D17" s="1054">
        <v>0</v>
      </c>
      <c r="E17" s="1261">
        <f t="shared" ref="E17" si="3">D17</f>
        <v>0</v>
      </c>
      <c r="F17" s="1262">
        <f t="shared" si="1"/>
        <v>0</v>
      </c>
      <c r="G17" s="1262"/>
      <c r="H17" s="1149"/>
      <c r="I17" s="1061">
        <v>400</v>
      </c>
      <c r="J17" s="1261">
        <v>100</v>
      </c>
      <c r="K17" s="1262">
        <f>J17+45</f>
        <v>145</v>
      </c>
      <c r="L17" s="1262">
        <v>788</v>
      </c>
      <c r="M17" s="1474">
        <f>L17/K17%</f>
        <v>543.44827586206895</v>
      </c>
    </row>
    <row r="18" spans="1:14" ht="46.5" x14ac:dyDescent="0.4">
      <c r="A18" s="1069">
        <v>11</v>
      </c>
      <c r="B18" s="1275" t="s">
        <v>1100</v>
      </c>
      <c r="C18" s="1416" t="s">
        <v>1550</v>
      </c>
      <c r="D18" s="1057">
        <v>1000</v>
      </c>
      <c r="E18" s="1261">
        <v>1000</v>
      </c>
      <c r="F18" s="1262">
        <f>E18+100</f>
        <v>1100</v>
      </c>
      <c r="G18" s="1263">
        <f>483+1257</f>
        <v>1740</v>
      </c>
      <c r="H18" s="1149">
        <f t="shared" si="0"/>
        <v>158.18181818181819</v>
      </c>
      <c r="I18" s="1064"/>
      <c r="J18" s="1261"/>
      <c r="K18" s="1262"/>
      <c r="L18" s="1262"/>
      <c r="M18" s="998"/>
    </row>
    <row r="19" spans="1:14" ht="26.25" x14ac:dyDescent="0.4">
      <c r="A19" s="1069">
        <v>12</v>
      </c>
      <c r="B19" s="1467" t="s">
        <v>106</v>
      </c>
      <c r="C19" s="1416" t="s">
        <v>97</v>
      </c>
      <c r="D19" s="1057">
        <v>4000</v>
      </c>
      <c r="E19" s="1261">
        <v>4000</v>
      </c>
      <c r="F19" s="1262">
        <f t="shared" si="1"/>
        <v>4000</v>
      </c>
      <c r="G19" s="1262">
        <v>1794</v>
      </c>
      <c r="H19" s="1149">
        <f t="shared" si="0"/>
        <v>44.85</v>
      </c>
      <c r="I19" s="1064"/>
      <c r="J19" s="1261"/>
      <c r="K19" s="1262"/>
      <c r="L19" s="1262"/>
      <c r="M19" s="998"/>
    </row>
    <row r="20" spans="1:14" s="23" customFormat="1" ht="25.5" x14ac:dyDescent="0.35">
      <c r="A20" s="1471">
        <v>13</v>
      </c>
      <c r="B20" s="1468" t="s">
        <v>385</v>
      </c>
      <c r="C20" s="1462" t="s">
        <v>99</v>
      </c>
      <c r="D20" s="1055">
        <f t="shared" ref="D20:J20" si="4">SUM(D16:D19)</f>
        <v>5000</v>
      </c>
      <c r="E20" s="1264">
        <f t="shared" si="4"/>
        <v>5000</v>
      </c>
      <c r="F20" s="1265">
        <f t="shared" si="4"/>
        <v>5100</v>
      </c>
      <c r="G20" s="1265">
        <f t="shared" ref="G20" si="5">SUM(G16:G19)</f>
        <v>3534</v>
      </c>
      <c r="H20" s="1150">
        <f t="shared" si="0"/>
        <v>69.294117647058826</v>
      </c>
      <c r="I20" s="1062">
        <f t="shared" si="4"/>
        <v>900</v>
      </c>
      <c r="J20" s="1264">
        <f t="shared" si="4"/>
        <v>700</v>
      </c>
      <c r="K20" s="1265">
        <f>SUM(K16:K19)</f>
        <v>145</v>
      </c>
      <c r="L20" s="1265">
        <f>SUM(L16:L19)</f>
        <v>788</v>
      </c>
      <c r="M20" s="1474">
        <f>L20/K20%</f>
        <v>543.44827586206895</v>
      </c>
      <c r="N20" s="650"/>
    </row>
    <row r="21" spans="1:14" s="294" customFormat="1" ht="26.25" x14ac:dyDescent="0.4">
      <c r="A21" s="1482">
        <v>14</v>
      </c>
      <c r="B21" s="1445" t="s">
        <v>387</v>
      </c>
      <c r="C21" s="1443" t="s">
        <v>386</v>
      </c>
      <c r="D21" s="1483">
        <f t="shared" ref="D21:J21" si="6">D10+D15+D20</f>
        <v>619000</v>
      </c>
      <c r="E21" s="1267">
        <f t="shared" si="6"/>
        <v>631500</v>
      </c>
      <c r="F21" s="1268">
        <f t="shared" si="6"/>
        <v>631500</v>
      </c>
      <c r="G21" s="1268">
        <f t="shared" ref="G21" si="7">G10+G15+G20</f>
        <v>695042</v>
      </c>
      <c r="H21" s="1484">
        <f t="shared" si="0"/>
        <v>110.06207442596991</v>
      </c>
      <c r="I21" s="1485">
        <f t="shared" si="6"/>
        <v>900</v>
      </c>
      <c r="J21" s="1267">
        <f t="shared" si="6"/>
        <v>700</v>
      </c>
      <c r="K21" s="1268">
        <f t="shared" ref="K21:L21" si="8">K10+K15+K20</f>
        <v>145</v>
      </c>
      <c r="L21" s="1268">
        <f t="shared" si="8"/>
        <v>788</v>
      </c>
      <c r="M21" s="1486">
        <f>L21/K21%</f>
        <v>543.44827586206895</v>
      </c>
    </row>
    <row r="22" spans="1:14" ht="26.25" x14ac:dyDescent="0.4">
      <c r="A22" s="1069">
        <v>15</v>
      </c>
      <c r="B22" s="1467"/>
      <c r="C22" s="1416" t="s">
        <v>2</v>
      </c>
      <c r="D22" s="1054">
        <f>400+38</f>
        <v>438</v>
      </c>
      <c r="E22" s="1261">
        <v>300</v>
      </c>
      <c r="F22" s="1262">
        <f t="shared" si="1"/>
        <v>300</v>
      </c>
      <c r="G22" s="1262">
        <v>200</v>
      </c>
      <c r="H22" s="1149">
        <f t="shared" si="0"/>
        <v>66.666666666666671</v>
      </c>
      <c r="I22" s="1061">
        <v>0</v>
      </c>
      <c r="J22" s="1261">
        <v>0</v>
      </c>
      <c r="K22" s="1262">
        <f t="shared" ref="K22:K49" si="9">J22</f>
        <v>0</v>
      </c>
      <c r="L22" s="1262"/>
      <c r="M22" s="998"/>
    </row>
    <row r="23" spans="1:14" s="6" customFormat="1" ht="26.25" x14ac:dyDescent="0.4">
      <c r="A23" s="1069">
        <v>16</v>
      </c>
      <c r="B23" s="1467"/>
      <c r="C23" s="1416" t="s">
        <v>927</v>
      </c>
      <c r="D23" s="1054">
        <v>0</v>
      </c>
      <c r="E23" s="1261">
        <v>0</v>
      </c>
      <c r="F23" s="1262">
        <f t="shared" si="1"/>
        <v>0</v>
      </c>
      <c r="G23" s="1262"/>
      <c r="H23" s="1149"/>
      <c r="I23" s="1061">
        <v>0</v>
      </c>
      <c r="J23" s="1261">
        <f>3400*1.05</f>
        <v>3570</v>
      </c>
      <c r="K23" s="1262">
        <f t="shared" si="9"/>
        <v>3570</v>
      </c>
      <c r="L23" s="1262">
        <f>3437*1.05</f>
        <v>3608.8500000000004</v>
      </c>
      <c r="M23" s="1474">
        <f>L23/K23%</f>
        <v>101.08823529411765</v>
      </c>
    </row>
    <row r="24" spans="1:14" s="6" customFormat="1" ht="26.25" x14ac:dyDescent="0.4">
      <c r="A24" s="1069">
        <v>17</v>
      </c>
      <c r="B24" s="1467"/>
      <c r="C24" s="1416" t="s">
        <v>996</v>
      </c>
      <c r="D24" s="1057">
        <v>0</v>
      </c>
      <c r="E24" s="1261">
        <f>(2488)*1.004+24+350</f>
        <v>2871.9520000000002</v>
      </c>
      <c r="F24" s="1262">
        <f>E24-350+141</f>
        <v>2662.9520000000002</v>
      </c>
      <c r="G24" s="1263">
        <f>(356-190+1864)*1.27</f>
        <v>2578.1</v>
      </c>
      <c r="H24" s="1149">
        <f t="shared" si="0"/>
        <v>96.81361136062533</v>
      </c>
      <c r="I24" s="1064"/>
      <c r="J24" s="1261"/>
      <c r="K24" s="1262">
        <f t="shared" si="9"/>
        <v>0</v>
      </c>
      <c r="L24" s="1262"/>
      <c r="M24" s="998"/>
    </row>
    <row r="25" spans="1:14" s="6" customFormat="1" ht="26.25" x14ac:dyDescent="0.4">
      <c r="A25" s="1473">
        <v>18</v>
      </c>
      <c r="B25" s="1470" t="s">
        <v>114</v>
      </c>
      <c r="C25" s="1464" t="s">
        <v>388</v>
      </c>
      <c r="D25" s="1056">
        <f t="shared" ref="D25:L25" si="10">SUM(D22:D24)</f>
        <v>438</v>
      </c>
      <c r="E25" s="1266">
        <f t="shared" si="10"/>
        <v>3171.9520000000002</v>
      </c>
      <c r="F25" s="1269">
        <f t="shared" si="10"/>
        <v>2962.9520000000002</v>
      </c>
      <c r="G25" s="1269">
        <f>SUM(G22:G24)</f>
        <v>2778.1</v>
      </c>
      <c r="H25" s="1151">
        <f t="shared" si="0"/>
        <v>93.76122191652108</v>
      </c>
      <c r="I25" s="1063">
        <f t="shared" si="10"/>
        <v>0</v>
      </c>
      <c r="J25" s="1266">
        <f t="shared" si="10"/>
        <v>3570</v>
      </c>
      <c r="K25" s="1269">
        <f t="shared" si="10"/>
        <v>3570</v>
      </c>
      <c r="L25" s="1269">
        <f t="shared" si="10"/>
        <v>3608.8500000000004</v>
      </c>
      <c r="M25" s="1474">
        <f>L25/K25%</f>
        <v>101.08823529411765</v>
      </c>
    </row>
    <row r="26" spans="1:14" s="6" customFormat="1" ht="46.5" x14ac:dyDescent="0.4">
      <c r="A26" s="1069">
        <v>19</v>
      </c>
      <c r="B26" s="1467"/>
      <c r="C26" s="1416" t="s">
        <v>728</v>
      </c>
      <c r="D26" s="1057">
        <f>29186+180+240+3082+5000+4855+500+1500+420</f>
        <v>44963</v>
      </c>
      <c r="E26" s="1261">
        <f>5000+17048+420+4199+4500+2000+(10*367200)/1000+(10*150000)/1000</f>
        <v>38339</v>
      </c>
      <c r="F26" s="1262">
        <f>E26+22</f>
        <v>38361</v>
      </c>
      <c r="G26" s="1262">
        <v>39839</v>
      </c>
      <c r="H26" s="1149">
        <f t="shared" si="0"/>
        <v>103.8528714058549</v>
      </c>
      <c r="I26" s="1064"/>
      <c r="J26" s="1261"/>
      <c r="K26" s="1262">
        <f t="shared" si="9"/>
        <v>0</v>
      </c>
      <c r="L26" s="1262"/>
      <c r="M26" s="998"/>
    </row>
    <row r="27" spans="1:14" s="6" customFormat="1" ht="26.25" x14ac:dyDescent="0.4">
      <c r="A27" s="1069">
        <v>20</v>
      </c>
      <c r="B27" s="1467"/>
      <c r="C27" s="1416" t="s">
        <v>115</v>
      </c>
      <c r="D27" s="1054">
        <f>10000+850</f>
        <v>10850</v>
      </c>
      <c r="E27" s="1261">
        <f>7634+2062+1292</f>
        <v>10988</v>
      </c>
      <c r="F27" s="1262">
        <f>E27-1292+471+8</f>
        <v>10175</v>
      </c>
      <c r="G27" s="1262">
        <f>8395+2266</f>
        <v>10661</v>
      </c>
      <c r="H27" s="1149">
        <f t="shared" si="0"/>
        <v>104.77641277641278</v>
      </c>
      <c r="I27" s="1061"/>
      <c r="J27" s="1261"/>
      <c r="K27" s="1262">
        <f t="shared" si="9"/>
        <v>0</v>
      </c>
      <c r="L27" s="1262"/>
      <c r="M27" s="998"/>
    </row>
    <row r="28" spans="1:14" s="6" customFormat="1" ht="26.25" x14ac:dyDescent="0.4">
      <c r="A28" s="1069">
        <v>21</v>
      </c>
      <c r="B28" s="1467"/>
      <c r="C28" s="1416" t="s">
        <v>861</v>
      </c>
      <c r="D28" s="1054"/>
      <c r="E28" s="1261">
        <f>(12*20000+17717*4)*1.27/1000</f>
        <v>394.80235999999996</v>
      </c>
      <c r="F28" s="1262">
        <f t="shared" si="1"/>
        <v>394.80235999999996</v>
      </c>
      <c r="G28" s="1262">
        <v>406</v>
      </c>
      <c r="H28" s="1149">
        <f t="shared" si="0"/>
        <v>102.83626470723226</v>
      </c>
      <c r="I28" s="1061"/>
      <c r="J28" s="1261"/>
      <c r="K28" s="1262">
        <f t="shared" si="9"/>
        <v>0</v>
      </c>
      <c r="L28" s="1262"/>
      <c r="M28" s="998"/>
    </row>
    <row r="29" spans="1:14" s="6" customFormat="1" ht="26.25" x14ac:dyDescent="0.4">
      <c r="A29" s="1069">
        <v>22</v>
      </c>
      <c r="B29" s="1467"/>
      <c r="C29" s="1416" t="s">
        <v>928</v>
      </c>
      <c r="D29" s="1054"/>
      <c r="E29" s="1261"/>
      <c r="F29" s="1262">
        <f t="shared" si="1"/>
        <v>0</v>
      </c>
      <c r="G29" s="1262">
        <v>0</v>
      </c>
      <c r="H29" s="1149"/>
      <c r="I29" s="1061"/>
      <c r="J29" s="1261">
        <f>1005*1.27</f>
        <v>1276.3499999999999</v>
      </c>
      <c r="K29" s="1262">
        <f t="shared" si="9"/>
        <v>1276.3499999999999</v>
      </c>
      <c r="L29" s="1262">
        <f>1218.6*1.27</f>
        <v>1547.6219999999998</v>
      </c>
      <c r="M29" s="1474">
        <f>L29/K29%</f>
        <v>121.25373134328358</v>
      </c>
    </row>
    <row r="30" spans="1:14" s="6" customFormat="1" ht="26.25" x14ac:dyDescent="0.4">
      <c r="A30" s="1069">
        <v>23</v>
      </c>
      <c r="B30" s="1467"/>
      <c r="C30" s="1416" t="s">
        <v>677</v>
      </c>
      <c r="D30" s="1054">
        <f>(4736592+1278880)/1000+524</f>
        <v>6539.4719999999998</v>
      </c>
      <c r="E30" s="1261"/>
      <c r="F30" s="1262">
        <f t="shared" si="1"/>
        <v>0</v>
      </c>
      <c r="G30" s="1262">
        <v>0</v>
      </c>
      <c r="H30" s="1149"/>
      <c r="I30" s="1061"/>
      <c r="J30" s="1261">
        <f>6178+1007</f>
        <v>7185</v>
      </c>
      <c r="K30" s="1262">
        <f>J30-1007+76</f>
        <v>6254</v>
      </c>
      <c r="L30" s="1262">
        <f>5853*1.27</f>
        <v>7433.31</v>
      </c>
      <c r="M30" s="1474">
        <f t="shared" ref="M30:M36" si="11">L30/K30%</f>
        <v>118.8568915893828</v>
      </c>
    </row>
    <row r="31" spans="1:14" s="6" customFormat="1" ht="26.25" x14ac:dyDescent="0.4">
      <c r="A31" s="1069">
        <v>24</v>
      </c>
      <c r="B31" s="1467"/>
      <c r="C31" s="1416" t="s">
        <v>747</v>
      </c>
      <c r="D31" s="1054">
        <f>(3456432+933237)/1000+383</f>
        <v>4772.6689999999999</v>
      </c>
      <c r="E31" s="1261"/>
      <c r="F31" s="1262">
        <f t="shared" si="1"/>
        <v>0</v>
      </c>
      <c r="G31" s="1262">
        <v>0</v>
      </c>
      <c r="H31" s="1149"/>
      <c r="I31" s="1061"/>
      <c r="J31" s="1261">
        <f>4877+795</f>
        <v>5672</v>
      </c>
      <c r="K31" s="1262">
        <f>J31-795</f>
        <v>4877</v>
      </c>
      <c r="L31" s="1262">
        <f>3724*1.27+1</f>
        <v>4730.4800000000005</v>
      </c>
      <c r="M31" s="1474">
        <f t="shared" si="11"/>
        <v>96.995694074225966</v>
      </c>
    </row>
    <row r="32" spans="1:14" s="6" customFormat="1" ht="26.25" x14ac:dyDescent="0.4">
      <c r="A32" s="1069">
        <v>25</v>
      </c>
      <c r="B32" s="1467"/>
      <c r="C32" s="1416" t="s">
        <v>745</v>
      </c>
      <c r="D32" s="1054">
        <f>(3944160+1064923)/1000+437</f>
        <v>5446.0829999999996</v>
      </c>
      <c r="E32" s="1261"/>
      <c r="F32" s="1262">
        <f t="shared" si="1"/>
        <v>0</v>
      </c>
      <c r="G32" s="1262">
        <v>0</v>
      </c>
      <c r="H32" s="1149"/>
      <c r="I32" s="1061"/>
      <c r="J32" s="1261">
        <f>5009+819</f>
        <v>5828</v>
      </c>
      <c r="K32" s="1262">
        <f>J32-819</f>
        <v>5009</v>
      </c>
      <c r="L32" s="1262">
        <f>3085*1.27+1</f>
        <v>3918.9500000000003</v>
      </c>
      <c r="M32" s="1474">
        <f t="shared" si="11"/>
        <v>78.238171291674988</v>
      </c>
    </row>
    <row r="33" spans="1:18" s="24" customFormat="1" ht="26.25" x14ac:dyDescent="0.4">
      <c r="A33" s="1069">
        <v>26</v>
      </c>
      <c r="B33" s="1467"/>
      <c r="C33" s="1416" t="s">
        <v>746</v>
      </c>
      <c r="D33" s="1054">
        <f>(639916+172777)/1000+71</f>
        <v>883.69299999999998</v>
      </c>
      <c r="E33" s="1261"/>
      <c r="F33" s="1262">
        <f t="shared" si="1"/>
        <v>0</v>
      </c>
      <c r="G33" s="1262">
        <v>0</v>
      </c>
      <c r="H33" s="1149"/>
      <c r="I33" s="1061"/>
      <c r="J33" s="1261">
        <f>813+133</f>
        <v>946</v>
      </c>
      <c r="K33" s="1262">
        <f>J33-133+57</f>
        <v>870</v>
      </c>
      <c r="L33" s="1262">
        <f>906*1.27-1</f>
        <v>1149.6200000000001</v>
      </c>
      <c r="M33" s="1474">
        <f t="shared" si="11"/>
        <v>132.14022988505749</v>
      </c>
      <c r="N33" s="25"/>
    </row>
    <row r="34" spans="1:18" s="24" customFormat="1" ht="46.5" x14ac:dyDescent="0.4">
      <c r="A34" s="1069">
        <v>27</v>
      </c>
      <c r="B34" s="1467"/>
      <c r="C34" s="1416" t="s">
        <v>912</v>
      </c>
      <c r="D34" s="1057">
        <f>3400+563+46000+3616</f>
        <v>53579</v>
      </c>
      <c r="E34" s="1270"/>
      <c r="F34" s="1262">
        <f t="shared" si="1"/>
        <v>0</v>
      </c>
      <c r="G34" s="1262">
        <v>0</v>
      </c>
      <c r="H34" s="1149"/>
      <c r="I34" s="1064"/>
      <c r="J34" s="1270">
        <f>47206*1.004+4761</f>
        <v>52155.824000000001</v>
      </c>
      <c r="K34" s="1262">
        <f>J34-619-4142+13414+1</f>
        <v>60809.824000000001</v>
      </c>
      <c r="L34" s="1262">
        <f>2753+751+46043+12436-1</f>
        <v>61982</v>
      </c>
      <c r="M34" s="1474">
        <f t="shared" si="11"/>
        <v>101.92760959150284</v>
      </c>
      <c r="N34" s="25"/>
    </row>
    <row r="35" spans="1:18" s="6" customFormat="1" ht="60.75" x14ac:dyDescent="0.4">
      <c r="A35" s="1473">
        <v>28</v>
      </c>
      <c r="B35" s="1275" t="s">
        <v>957</v>
      </c>
      <c r="C35" s="1464" t="s">
        <v>116</v>
      </c>
      <c r="D35" s="1056">
        <f t="shared" ref="D35:K35" si="12">SUM(D26:D34)</f>
        <v>127033.917</v>
      </c>
      <c r="E35" s="1266">
        <f t="shared" si="12"/>
        <v>49721.802360000001</v>
      </c>
      <c r="F35" s="1269">
        <f t="shared" si="12"/>
        <v>48930.802360000001</v>
      </c>
      <c r="G35" s="1269">
        <f>SUM(G26:G34)</f>
        <v>50906</v>
      </c>
      <c r="H35" s="1151">
        <f t="shared" si="0"/>
        <v>104.03671622931465</v>
      </c>
      <c r="I35" s="1063">
        <f t="shared" si="12"/>
        <v>0</v>
      </c>
      <c r="J35" s="1266">
        <f t="shared" si="12"/>
        <v>73063.173999999999</v>
      </c>
      <c r="K35" s="1269">
        <f t="shared" si="12"/>
        <v>79096.173999999999</v>
      </c>
      <c r="L35" s="1269">
        <f>SUM(L26:L34)</f>
        <v>80761.982000000004</v>
      </c>
      <c r="M35" s="1474">
        <f t="shared" si="11"/>
        <v>102.10605382758465</v>
      </c>
      <c r="N35" s="25"/>
      <c r="O35" s="25"/>
      <c r="P35" s="24"/>
      <c r="Q35" s="24"/>
    </row>
    <row r="36" spans="1:18" s="6" customFormat="1" ht="46.5" x14ac:dyDescent="0.4">
      <c r="A36" s="1473">
        <v>29</v>
      </c>
      <c r="B36" s="1275" t="s">
        <v>112</v>
      </c>
      <c r="C36" s="1416" t="s">
        <v>107</v>
      </c>
      <c r="D36" s="1058">
        <v>5000</v>
      </c>
      <c r="E36" s="1271">
        <f>7500*1.004</f>
        <v>7530</v>
      </c>
      <c r="F36" s="1269">
        <f>E36+2906+849+12+13+185+25+27+4+1+4+1+3+564+81+1+298+400+1000</f>
        <v>13904</v>
      </c>
      <c r="G36" s="1269">
        <f>6069+8798+1195</f>
        <v>16062</v>
      </c>
      <c r="H36" s="1151">
        <f t="shared" si="0"/>
        <v>115.52071346375145</v>
      </c>
      <c r="I36" s="1066">
        <v>450</v>
      </c>
      <c r="J36" s="1271">
        <v>1700</v>
      </c>
      <c r="K36" s="1269">
        <f t="shared" si="9"/>
        <v>1700</v>
      </c>
      <c r="L36" s="1269">
        <f>452+545+166</f>
        <v>1163</v>
      </c>
      <c r="M36" s="1474">
        <f t="shared" si="11"/>
        <v>68.411764705882348</v>
      </c>
      <c r="N36" s="25"/>
      <c r="O36" s="24"/>
      <c r="P36" s="24"/>
      <c r="Q36" s="24"/>
    </row>
    <row r="37" spans="1:18" s="6" customFormat="1" ht="26.25" x14ac:dyDescent="0.4">
      <c r="A37" s="1069">
        <v>30</v>
      </c>
      <c r="B37" s="1467"/>
      <c r="C37" s="1465" t="s">
        <v>108</v>
      </c>
      <c r="D37" s="1057">
        <v>75101</v>
      </c>
      <c r="E37" s="1261">
        <f>75101+5010*0.2126</f>
        <v>76166.126000000004</v>
      </c>
      <c r="F37" s="1262">
        <f t="shared" si="1"/>
        <v>76166.126000000004</v>
      </c>
      <c r="G37" s="1262">
        <v>0</v>
      </c>
      <c r="H37" s="1149">
        <f t="shared" si="0"/>
        <v>0</v>
      </c>
      <c r="I37" s="1064"/>
      <c r="J37" s="1261"/>
      <c r="K37" s="1262">
        <f t="shared" si="9"/>
        <v>0</v>
      </c>
      <c r="L37" s="1262"/>
      <c r="M37" s="998"/>
      <c r="N37" s="25"/>
      <c r="O37" s="24"/>
      <c r="P37" s="24"/>
      <c r="Q37" s="24"/>
    </row>
    <row r="38" spans="1:18" ht="26.25" x14ac:dyDescent="0.4">
      <c r="A38" s="1069">
        <v>31</v>
      </c>
      <c r="B38" s="1467"/>
      <c r="C38" s="1416" t="s">
        <v>100</v>
      </c>
      <c r="D38" s="1054">
        <v>8106</v>
      </c>
      <c r="E38" s="1261">
        <v>6868</v>
      </c>
      <c r="F38" s="1262">
        <f t="shared" si="1"/>
        <v>6868</v>
      </c>
      <c r="G38" s="1262">
        <v>8003</v>
      </c>
      <c r="H38" s="1149">
        <f t="shared" si="0"/>
        <v>116.5259172976121</v>
      </c>
      <c r="I38" s="1061"/>
      <c r="J38" s="1261"/>
      <c r="K38" s="1262">
        <f t="shared" si="9"/>
        <v>0</v>
      </c>
      <c r="L38" s="1262"/>
      <c r="M38" s="998"/>
      <c r="N38" s="98"/>
      <c r="O38" s="6"/>
      <c r="P38" s="6"/>
      <c r="Q38" s="6"/>
    </row>
    <row r="39" spans="1:18" s="6" customFormat="1" ht="27" thickBot="1" x14ac:dyDescent="0.45">
      <c r="A39" s="1069">
        <v>32</v>
      </c>
      <c r="B39" s="1467"/>
      <c r="C39" s="1465" t="s">
        <v>109</v>
      </c>
      <c r="D39" s="1054">
        <v>272</v>
      </c>
      <c r="E39" s="1261">
        <v>22</v>
      </c>
      <c r="F39" s="1262">
        <f>E39-22</f>
        <v>0</v>
      </c>
      <c r="G39" s="1262">
        <v>0</v>
      </c>
      <c r="H39" s="1149"/>
      <c r="I39" s="1061"/>
      <c r="J39" s="1261"/>
      <c r="K39" s="1262">
        <f t="shared" si="9"/>
        <v>0</v>
      </c>
      <c r="L39" s="1262"/>
      <c r="M39" s="998"/>
      <c r="N39" s="98"/>
      <c r="P39" s="667">
        <v>0.5</v>
      </c>
      <c r="Q39" s="667">
        <v>1</v>
      </c>
    </row>
    <row r="40" spans="1:18" s="6" customFormat="1" ht="48" thickBot="1" x14ac:dyDescent="0.45">
      <c r="A40" s="1069">
        <v>33</v>
      </c>
      <c r="B40" s="1467"/>
      <c r="C40" s="1466" t="s">
        <v>920</v>
      </c>
      <c r="D40" s="1054"/>
      <c r="E40" s="1261">
        <v>0</v>
      </c>
      <c r="F40" s="1262">
        <f>E40+80+2066+1390</f>
        <v>3536</v>
      </c>
      <c r="G40" s="1262">
        <f>6862+31</f>
        <v>6893</v>
      </c>
      <c r="H40" s="1149">
        <f t="shared" si="0"/>
        <v>194.93778280542986</v>
      </c>
      <c r="I40" s="1061"/>
      <c r="J40" s="1261"/>
      <c r="K40" s="1262">
        <f t="shared" si="9"/>
        <v>0</v>
      </c>
      <c r="L40" s="1262"/>
      <c r="M40" s="998"/>
      <c r="N40" s="2499" t="s">
        <v>910</v>
      </c>
      <c r="O40" s="2500"/>
      <c r="P40" s="666"/>
      <c r="Q40" s="666">
        <v>105800</v>
      </c>
    </row>
    <row r="41" spans="1:18" s="6" customFormat="1" ht="27" thickBot="1" x14ac:dyDescent="0.45">
      <c r="A41" s="1473">
        <v>34</v>
      </c>
      <c r="B41" s="1470" t="s">
        <v>395</v>
      </c>
      <c r="C41" s="1464" t="s">
        <v>394</v>
      </c>
      <c r="D41" s="1058">
        <f>SUM(D37:D39)</f>
        <v>83479</v>
      </c>
      <c r="E41" s="1271">
        <f>SUM(E37:E40)</f>
        <v>83056.126000000004</v>
      </c>
      <c r="F41" s="1272">
        <f>SUM(F37:F40)</f>
        <v>86570.126000000004</v>
      </c>
      <c r="G41" s="1272">
        <f>SUM(G37:G40)</f>
        <v>14896</v>
      </c>
      <c r="H41" s="1151">
        <f t="shared" si="0"/>
        <v>17.206859557995791</v>
      </c>
      <c r="I41" s="1066">
        <f>SUM(I37:I39)</f>
        <v>0</v>
      </c>
      <c r="J41" s="1271">
        <f>SUM(J37:J39)</f>
        <v>0</v>
      </c>
      <c r="K41" s="1272">
        <f>SUM(K37:K40)</f>
        <v>0</v>
      </c>
      <c r="L41" s="1272"/>
      <c r="M41" s="1053"/>
      <c r="N41" s="2499" t="s">
        <v>94</v>
      </c>
      <c r="O41" s="2500"/>
      <c r="P41" s="666"/>
      <c r="Q41" s="666">
        <v>3296700</v>
      </c>
    </row>
    <row r="42" spans="1:18" s="24" customFormat="1" ht="27" thickBot="1" x14ac:dyDescent="0.45">
      <c r="A42" s="1473">
        <v>35</v>
      </c>
      <c r="B42" s="1470"/>
      <c r="C42" s="1416" t="s">
        <v>147</v>
      </c>
      <c r="D42" s="1057">
        <f>(4296240+7607925)/1000+3781+1561</f>
        <v>17246.165000000001</v>
      </c>
      <c r="E42" s="1261"/>
      <c r="F42" s="1262">
        <f t="shared" si="1"/>
        <v>0</v>
      </c>
      <c r="G42" s="1262">
        <v>0</v>
      </c>
      <c r="H42" s="1149"/>
      <c r="I42" s="1064"/>
      <c r="J42" s="1261">
        <f>(Q41+Q42)/1000+4840</f>
        <v>11968</v>
      </c>
      <c r="K42" s="1262">
        <f>J42-4840</f>
        <v>7128</v>
      </c>
      <c r="L42" s="1262">
        <v>6769</v>
      </c>
      <c r="M42" s="1474">
        <f t="shared" ref="M42:M47" si="13">L42/K42%</f>
        <v>94.963524130190791</v>
      </c>
      <c r="N42" s="2499" t="s">
        <v>911</v>
      </c>
      <c r="O42" s="2500"/>
      <c r="P42" s="666"/>
      <c r="Q42" s="666">
        <v>3831300</v>
      </c>
    </row>
    <row r="43" spans="1:18" s="24" customFormat="1" ht="27" thickBot="1" x14ac:dyDescent="0.45">
      <c r="A43" s="1473">
        <v>36</v>
      </c>
      <c r="B43" s="1470"/>
      <c r="C43" s="1416" t="s">
        <v>148</v>
      </c>
      <c r="D43" s="1057">
        <f>(8184000+10564800)/1000+3276+1603</f>
        <v>23627.8</v>
      </c>
      <c r="E43" s="1261"/>
      <c r="F43" s="1262">
        <f t="shared" si="1"/>
        <v>0</v>
      </c>
      <c r="G43" s="1262">
        <v>0</v>
      </c>
      <c r="H43" s="1149"/>
      <c r="I43" s="1064"/>
      <c r="J43" s="1261">
        <f>(P43+P44+Q43+Q44)/1000+4938</f>
        <v>27108.400000000001</v>
      </c>
      <c r="K43" s="1262">
        <f>J43-4938</f>
        <v>22170.400000000001</v>
      </c>
      <c r="L43" s="1262">
        <v>15971</v>
      </c>
      <c r="M43" s="1474">
        <f t="shared" si="13"/>
        <v>72.037491430014796</v>
      </c>
      <c r="N43" s="2499" t="s">
        <v>908</v>
      </c>
      <c r="O43" s="2500"/>
      <c r="P43" s="666">
        <v>1864800</v>
      </c>
      <c r="Q43" s="666">
        <v>8880000</v>
      </c>
      <c r="R43" s="25">
        <f>SUM(P43:Q43)</f>
        <v>10744800</v>
      </c>
    </row>
    <row r="44" spans="1:18" ht="26.25" x14ac:dyDescent="0.4">
      <c r="A44" s="1473">
        <v>37</v>
      </c>
      <c r="B44" s="1470"/>
      <c r="C44" s="1416" t="s">
        <v>66</v>
      </c>
      <c r="D44" s="1057">
        <f>106+110+43</f>
        <v>259</v>
      </c>
      <c r="E44" s="1261"/>
      <c r="F44" s="1262">
        <f t="shared" si="1"/>
        <v>0</v>
      </c>
      <c r="G44" s="1262">
        <v>0</v>
      </c>
      <c r="H44" s="1149"/>
      <c r="I44" s="1064"/>
      <c r="J44" s="1261">
        <f>Q40/1000+143</f>
        <v>248.8</v>
      </c>
      <c r="K44" s="1262">
        <f>J44-143</f>
        <v>105.80000000000001</v>
      </c>
      <c r="L44" s="1262">
        <v>137</v>
      </c>
      <c r="M44" s="1474">
        <f t="shared" si="13"/>
        <v>129.48960302457465</v>
      </c>
      <c r="N44" s="2499" t="s">
        <v>909</v>
      </c>
      <c r="O44" s="2500"/>
      <c r="P44" s="666">
        <v>2723200</v>
      </c>
      <c r="Q44" s="666">
        <v>8702400</v>
      </c>
      <c r="R44" s="25">
        <f>SUM(P44:Q44)</f>
        <v>11425600</v>
      </c>
    </row>
    <row r="45" spans="1:18" s="6" customFormat="1" ht="26.25" x14ac:dyDescent="0.4">
      <c r="A45" s="1473">
        <v>38</v>
      </c>
      <c r="B45" s="1470" t="s">
        <v>397</v>
      </c>
      <c r="C45" s="1464" t="s">
        <v>396</v>
      </c>
      <c r="D45" s="1058">
        <f>SUM(D42:D44)</f>
        <v>41132.964999999997</v>
      </c>
      <c r="E45" s="1271">
        <f>SUM(E42:E44)</f>
        <v>0</v>
      </c>
      <c r="F45" s="1272">
        <f>SUM(F42:F44)</f>
        <v>0</v>
      </c>
      <c r="G45" s="1272">
        <f>SUM(G42:G44)</f>
        <v>0</v>
      </c>
      <c r="H45" s="1151"/>
      <c r="I45" s="1066">
        <f>SUM(I42:I43)</f>
        <v>0</v>
      </c>
      <c r="J45" s="1264">
        <f>SUM(J42:J44)</f>
        <v>39325.200000000004</v>
      </c>
      <c r="K45" s="1265">
        <f>SUM(K42:K44)</f>
        <v>29404.2</v>
      </c>
      <c r="L45" s="1265">
        <f>SUM(L42:L44)</f>
        <v>22877</v>
      </c>
      <c r="M45" s="1475">
        <f t="shared" si="13"/>
        <v>77.801810625692923</v>
      </c>
      <c r="N45" s="24"/>
      <c r="O45" s="24"/>
      <c r="P45" s="24"/>
      <c r="Q45" s="24"/>
    </row>
    <row r="46" spans="1:18" s="6" customFormat="1" ht="46.5" x14ac:dyDescent="0.4">
      <c r="A46" s="1473">
        <v>39</v>
      </c>
      <c r="B46" s="1470" t="s">
        <v>68</v>
      </c>
      <c r="C46" s="1416" t="s">
        <v>67</v>
      </c>
      <c r="D46" s="1058">
        <v>0</v>
      </c>
      <c r="E46" s="1261">
        <f t="shared" ref="E46" si="14">D46</f>
        <v>0</v>
      </c>
      <c r="F46" s="1262">
        <f t="shared" si="1"/>
        <v>0</v>
      </c>
      <c r="G46" s="1262">
        <v>0</v>
      </c>
      <c r="H46" s="1149"/>
      <c r="I46" s="1066"/>
      <c r="J46" s="1261"/>
      <c r="K46" s="1262">
        <f t="shared" si="9"/>
        <v>0</v>
      </c>
      <c r="L46" s="1262"/>
      <c r="M46" s="998"/>
      <c r="N46" s="24"/>
      <c r="O46" s="24"/>
      <c r="P46" s="24"/>
      <c r="Q46" s="24"/>
    </row>
    <row r="47" spans="1:18" s="24" customFormat="1" ht="26.25" x14ac:dyDescent="0.4">
      <c r="A47" s="1069">
        <v>40</v>
      </c>
      <c r="B47" s="1467" t="s">
        <v>399</v>
      </c>
      <c r="C47" s="1416" t="s">
        <v>80</v>
      </c>
      <c r="D47" s="1054">
        <v>0</v>
      </c>
      <c r="E47" s="1261">
        <v>0</v>
      </c>
      <c r="F47" s="1262">
        <f>E47+148+138+711+350+1292-138-711+493+711+390+8+26+39+26+32+85+61+849+4+3+2+5+3+1+8</f>
        <v>4536</v>
      </c>
      <c r="G47" s="1262">
        <v>5287</v>
      </c>
      <c r="H47" s="1149">
        <f t="shared" si="0"/>
        <v>116.55643738977072</v>
      </c>
      <c r="I47" s="1061"/>
      <c r="J47" s="1261"/>
      <c r="K47" s="1262">
        <f>1007+795+819+133+619+4142+4840+4938+143</f>
        <v>17436</v>
      </c>
      <c r="L47" s="1262">
        <v>9369</v>
      </c>
      <c r="M47" s="1474">
        <f t="shared" si="13"/>
        <v>53.733654507914657</v>
      </c>
      <c r="N47" s="5"/>
      <c r="O47" s="5"/>
      <c r="P47" s="5"/>
      <c r="Q47" s="5"/>
    </row>
    <row r="48" spans="1:18" s="24" customFormat="1" ht="26.25" x14ac:dyDescent="0.4">
      <c r="A48" s="1069">
        <v>41</v>
      </c>
      <c r="B48" s="1467"/>
      <c r="C48" s="1416" t="s">
        <v>110</v>
      </c>
      <c r="D48" s="1057">
        <v>4000</v>
      </c>
      <c r="E48" s="1261">
        <v>2000</v>
      </c>
      <c r="F48" s="1262">
        <f t="shared" si="1"/>
        <v>2000</v>
      </c>
      <c r="G48" s="1262">
        <v>1500</v>
      </c>
      <c r="H48" s="1149">
        <f t="shared" si="0"/>
        <v>75</v>
      </c>
      <c r="I48" s="1064"/>
      <c r="J48" s="1261">
        <v>0</v>
      </c>
      <c r="K48" s="1262">
        <f t="shared" si="9"/>
        <v>0</v>
      </c>
      <c r="L48" s="1262"/>
      <c r="M48" s="998"/>
      <c r="N48" s="6"/>
      <c r="O48" s="6"/>
      <c r="P48" s="6"/>
      <c r="Q48" s="6"/>
    </row>
    <row r="49" spans="1:17" ht="26.25" x14ac:dyDescent="0.4">
      <c r="A49" s="1069">
        <v>42</v>
      </c>
      <c r="B49" s="1467"/>
      <c r="C49" s="1416" t="s">
        <v>111</v>
      </c>
      <c r="D49" s="1057">
        <v>1500</v>
      </c>
      <c r="E49" s="1261">
        <v>1500</v>
      </c>
      <c r="F49" s="1262">
        <f t="shared" si="1"/>
        <v>1500</v>
      </c>
      <c r="G49" s="1262">
        <v>1353</v>
      </c>
      <c r="H49" s="1149">
        <f t="shared" si="0"/>
        <v>90.2</v>
      </c>
      <c r="I49" s="1064"/>
      <c r="J49" s="1261">
        <v>0</v>
      </c>
      <c r="K49" s="1262">
        <f t="shared" si="9"/>
        <v>0</v>
      </c>
      <c r="L49" s="1262"/>
      <c r="M49" s="998"/>
      <c r="N49" s="6"/>
      <c r="O49" s="6"/>
      <c r="P49" s="6"/>
      <c r="Q49" s="6"/>
    </row>
    <row r="50" spans="1:17" ht="26.25" x14ac:dyDescent="0.4">
      <c r="A50" s="1473">
        <v>43</v>
      </c>
      <c r="B50" s="1470" t="s">
        <v>401</v>
      </c>
      <c r="C50" s="1416" t="s">
        <v>400</v>
      </c>
      <c r="D50" s="1058">
        <f t="shared" ref="D50:J50" si="15">SUM(D48:D49)</f>
        <v>5500</v>
      </c>
      <c r="E50" s="1271">
        <f t="shared" si="15"/>
        <v>3500</v>
      </c>
      <c r="F50" s="1272">
        <f t="shared" si="15"/>
        <v>3500</v>
      </c>
      <c r="G50" s="1272">
        <f>SUM(G48:G49)</f>
        <v>2853</v>
      </c>
      <c r="H50" s="1151">
        <f t="shared" si="0"/>
        <v>81.51428571428572</v>
      </c>
      <c r="I50" s="1066">
        <f t="shared" si="15"/>
        <v>0</v>
      </c>
      <c r="J50" s="1271">
        <f t="shared" si="15"/>
        <v>0</v>
      </c>
      <c r="K50" s="1272">
        <f t="shared" ref="K50" si="16">SUM(K48:K49)</f>
        <v>0</v>
      </c>
      <c r="L50" s="1272"/>
      <c r="M50" s="1053"/>
      <c r="N50" s="24"/>
      <c r="O50" s="24"/>
      <c r="P50" s="24"/>
      <c r="Q50" s="24"/>
    </row>
    <row r="51" spans="1:17" ht="40.5" x14ac:dyDescent="0.4">
      <c r="A51" s="1473">
        <v>44</v>
      </c>
      <c r="B51" s="1275" t="s">
        <v>874</v>
      </c>
      <c r="C51" s="1416" t="s">
        <v>1</v>
      </c>
      <c r="D51" s="1058">
        <v>0</v>
      </c>
      <c r="E51" s="1261"/>
      <c r="F51" s="1262">
        <f>219+346+1+674+54+38+92+1933</f>
        <v>3357</v>
      </c>
      <c r="G51" s="1262">
        <f>2216+3415+1439+3610+374+130</f>
        <v>11184</v>
      </c>
      <c r="H51" s="1149">
        <f t="shared" si="0"/>
        <v>333.15460232350313</v>
      </c>
      <c r="I51" s="1066"/>
      <c r="J51" s="1261"/>
      <c r="K51" s="1262">
        <v>600</v>
      </c>
      <c r="L51" s="1262">
        <v>449</v>
      </c>
      <c r="M51" s="1474">
        <f>L51/K51%</f>
        <v>74.833333333333329</v>
      </c>
      <c r="N51" s="24"/>
      <c r="O51" s="24"/>
      <c r="P51" s="24"/>
      <c r="Q51" s="24"/>
    </row>
    <row r="52" spans="1:17" s="294" customFormat="1" ht="27" thickBot="1" x14ac:dyDescent="0.45">
      <c r="A52" s="1476">
        <v>45</v>
      </c>
      <c r="B52" s="1477" t="s">
        <v>403</v>
      </c>
      <c r="C52" s="1461" t="s">
        <v>1</v>
      </c>
      <c r="D52" s="1478">
        <f>D25+D35+D36+D41+D45+D50+D47+D51+D46</f>
        <v>262583.88199999998</v>
      </c>
      <c r="E52" s="1273">
        <f>E25+E35+E36+E41+E45+E50+E47+E51+E46</f>
        <v>146979.88036000001</v>
      </c>
      <c r="F52" s="1274">
        <f>F25+F35+F36+F41+F45+F50+F47+F51+F46</f>
        <v>163760.88036000001</v>
      </c>
      <c r="G52" s="1274">
        <f>G25+G35+G36+G41+G45+G50+G47+G51+G46</f>
        <v>103966.1</v>
      </c>
      <c r="H52" s="1479">
        <f t="shared" si="0"/>
        <v>63.486529732527387</v>
      </c>
      <c r="I52" s="1480">
        <f>I25+I35+I36+I41+I45+I50+I47</f>
        <v>450</v>
      </c>
      <c r="J52" s="1273">
        <f>J25+J35+J36+J41+J45+J50+J47</f>
        <v>117658.37400000001</v>
      </c>
      <c r="K52" s="1274">
        <f>K25+K35+K36+K41+K45+K50+K47+K51+K46</f>
        <v>131806.37400000001</v>
      </c>
      <c r="L52" s="1274">
        <f>L25+L35+L36+L41+L45+L50+L47+L51+L46</f>
        <v>118228.83200000001</v>
      </c>
      <c r="M52" s="1481">
        <f>L52/K52%</f>
        <v>89.698872984701026</v>
      </c>
    </row>
    <row r="54" spans="1:17" ht="23.25" x14ac:dyDescent="0.35">
      <c r="G54" s="1146"/>
      <c r="L54" s="1146"/>
    </row>
    <row r="55" spans="1:17" ht="23.25" x14ac:dyDescent="0.35">
      <c r="G55" s="1147"/>
      <c r="L55" s="1147"/>
    </row>
  </sheetData>
  <mergeCells count="8">
    <mergeCell ref="A1:M1"/>
    <mergeCell ref="B2:L2"/>
    <mergeCell ref="A3:M3"/>
    <mergeCell ref="N44:O44"/>
    <mergeCell ref="N40:O40"/>
    <mergeCell ref="N41:O41"/>
    <mergeCell ref="N42:O42"/>
    <mergeCell ref="N43:O43"/>
  </mergeCells>
  <phoneticPr fontId="62" type="noConversion"/>
  <pageMargins left="0.25" right="0.25" top="0.75" bottom="0.75" header="0.3" footer="0.3"/>
  <pageSetup paperSize="9" scale="40"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Munka19">
    <tabColor rgb="FFFF0000"/>
    <pageSetUpPr fitToPage="1"/>
  </sheetPr>
  <dimension ref="A1:X181"/>
  <sheetViews>
    <sheetView view="pageBreakPreview" zoomScale="75" zoomScaleSheetLayoutView="75" workbookViewId="0">
      <selection activeCell="A2" sqref="A2:O2"/>
    </sheetView>
  </sheetViews>
  <sheetFormatPr defaultRowHeight="15.75" x14ac:dyDescent="0.25"/>
  <cols>
    <col min="1" max="1" width="10.140625" style="45" customWidth="1"/>
    <col min="2" max="2" width="83.85546875" style="34" customWidth="1"/>
    <col min="3" max="3" width="29.140625" style="34" hidden="1" customWidth="1"/>
    <col min="4" max="5" width="27.42578125" style="34" customWidth="1"/>
    <col min="6" max="6" width="25.85546875" style="34" customWidth="1"/>
    <col min="7" max="7" width="19" style="34" customWidth="1"/>
    <col min="8" max="16384" width="9.140625" style="34"/>
  </cols>
  <sheetData>
    <row r="1" spans="1:24" ht="21" x14ac:dyDescent="0.35">
      <c r="A1" s="2501" t="str">
        <f>Tartalomjegyzék_2017!A1</f>
        <v>Pilisvörösvár Város Önkormányzata Képviselő-testületének 7/2018. (IV. 27.) önkormányzati rendelete</v>
      </c>
      <c r="B1" s="2501"/>
      <c r="C1" s="2502"/>
      <c r="D1" s="2503"/>
      <c r="E1" s="2504"/>
      <c r="F1" s="2504"/>
      <c r="G1" s="2504"/>
    </row>
    <row r="2" spans="1:24" ht="21" customHeight="1" x14ac:dyDescent="0.35">
      <c r="A2" s="2501" t="str">
        <f>'12. Támogatási bevételek (B (2)'!A2:AF2</f>
        <v>az Önkormányzat  2017. évi zárszámadásáról</v>
      </c>
      <c r="B2" s="2501"/>
      <c r="C2" s="2502"/>
      <c r="D2" s="2503"/>
      <c r="E2" s="2504"/>
      <c r="F2" s="2504"/>
      <c r="G2" s="2504"/>
    </row>
    <row r="3" spans="1:24" ht="20.25" x14ac:dyDescent="0.3">
      <c r="A3" s="811"/>
      <c r="B3" s="812"/>
      <c r="C3" s="813"/>
      <c r="D3" s="813"/>
      <c r="E3" s="813"/>
      <c r="F3" s="813"/>
      <c r="G3" s="813"/>
    </row>
    <row r="4" spans="1:24" ht="21" customHeight="1" x14ac:dyDescent="0.35">
      <c r="A4" s="2501" t="str">
        <f>Tartalomjegyzék_2017!B21</f>
        <v>Pilisvörösvár Város Önkormányzata átvett pénzeszközei</v>
      </c>
      <c r="B4" s="2501"/>
      <c r="C4" s="2502"/>
      <c r="D4" s="2503"/>
      <c r="E4" s="2504"/>
      <c r="F4" s="2504"/>
      <c r="G4" s="2504"/>
    </row>
    <row r="5" spans="1:24" ht="20.25" x14ac:dyDescent="0.3">
      <c r="A5" s="337"/>
      <c r="B5" s="337"/>
      <c r="C5" s="29"/>
      <c r="F5" s="809"/>
      <c r="G5" s="809" t="s">
        <v>692</v>
      </c>
    </row>
    <row r="6" spans="1:24" s="40" customFormat="1" ht="20.25" x14ac:dyDescent="0.3">
      <c r="A6" s="338"/>
      <c r="B6" s="337"/>
      <c r="F6" s="851"/>
      <c r="G6" s="851"/>
    </row>
    <row r="7" spans="1:24" ht="20.25" x14ac:dyDescent="0.3">
      <c r="A7" s="341"/>
      <c r="B7" s="342"/>
      <c r="F7" s="810"/>
      <c r="G7" s="810" t="s">
        <v>358</v>
      </c>
      <c r="H7" s="31"/>
      <c r="I7" s="31"/>
      <c r="J7" s="32"/>
      <c r="K7" s="32"/>
      <c r="L7" s="32"/>
      <c r="M7" s="32"/>
      <c r="N7" s="32"/>
      <c r="O7" s="32"/>
      <c r="P7" s="32"/>
      <c r="Q7" s="33"/>
      <c r="R7" s="33"/>
      <c r="S7" s="33"/>
      <c r="T7" s="33"/>
      <c r="U7" s="33"/>
      <c r="V7" s="33"/>
      <c r="W7" s="33"/>
      <c r="X7" s="33"/>
    </row>
    <row r="8" spans="1:24" ht="75" x14ac:dyDescent="0.25">
      <c r="A8" s="325" t="s">
        <v>41</v>
      </c>
      <c r="B8" s="339" t="s">
        <v>359</v>
      </c>
      <c r="C8" s="340" t="s">
        <v>632</v>
      </c>
      <c r="D8" s="340" t="str">
        <f>'13. Működési bev. (B3,B4)'!E7</f>
        <v>Önkormányzat 2017. évi eredeti előirányzat</v>
      </c>
      <c r="E8" s="340" t="str">
        <f>'13. Működési bev. (B3,B4)'!F7</f>
        <v>Önkormányzat 2017. évi módosított előirányzat 2017.12.31</v>
      </c>
      <c r="F8" s="340" t="str">
        <f>'13. Működési bev. (B3,B4)'!G7</f>
        <v>Önkormányzat 2017. évi Teljesítés 2017.12.31</v>
      </c>
      <c r="G8" s="340" t="str">
        <f>'13. Működési bev. (B3,B4)'!H7</f>
        <v>Teljesítés %-ban</v>
      </c>
      <c r="H8" s="31"/>
      <c r="I8" s="31"/>
      <c r="J8" s="32"/>
      <c r="K8" s="32"/>
      <c r="L8" s="32"/>
      <c r="M8" s="32"/>
      <c r="N8" s="32"/>
      <c r="O8" s="32"/>
      <c r="P8" s="32"/>
      <c r="Q8" s="33"/>
      <c r="R8" s="33"/>
      <c r="S8" s="33"/>
      <c r="T8" s="33"/>
      <c r="U8" s="33"/>
      <c r="V8" s="33"/>
      <c r="W8" s="33"/>
      <c r="X8" s="33"/>
    </row>
    <row r="9" spans="1:24" ht="43.5" customHeight="1" x14ac:dyDescent="0.25">
      <c r="A9" s="326">
        <v>1</v>
      </c>
      <c r="B9" s="279" t="s">
        <v>673</v>
      </c>
      <c r="C9" s="515">
        <v>102</v>
      </c>
      <c r="D9" s="515">
        <v>0</v>
      </c>
      <c r="E9" s="515">
        <f t="shared" ref="D9:E18" si="0">D9</f>
        <v>0</v>
      </c>
      <c r="F9" s="515">
        <v>0</v>
      </c>
      <c r="G9" s="515"/>
      <c r="H9" s="31"/>
      <c r="I9" s="31"/>
      <c r="J9" s="32"/>
      <c r="K9" s="32"/>
      <c r="L9" s="32"/>
      <c r="M9" s="32"/>
      <c r="N9" s="32"/>
      <c r="O9" s="32"/>
      <c r="P9" s="32"/>
      <c r="Q9" s="33"/>
      <c r="R9" s="33"/>
      <c r="S9" s="33"/>
      <c r="T9" s="33"/>
      <c r="U9" s="33"/>
      <c r="V9" s="33"/>
      <c r="W9" s="33"/>
      <c r="X9" s="33"/>
    </row>
    <row r="10" spans="1:24" ht="43.5" customHeight="1" x14ac:dyDescent="0.25">
      <c r="A10" s="326">
        <v>2</v>
      </c>
      <c r="B10" s="279" t="s">
        <v>43</v>
      </c>
      <c r="C10" s="514">
        <v>0</v>
      </c>
      <c r="D10" s="515">
        <f t="shared" si="0"/>
        <v>0</v>
      </c>
      <c r="E10" s="515">
        <f t="shared" si="0"/>
        <v>0</v>
      </c>
      <c r="F10" s="515">
        <v>0</v>
      </c>
      <c r="G10" s="515"/>
      <c r="H10" s="35"/>
      <c r="I10" s="35"/>
      <c r="J10" s="36"/>
      <c r="K10" s="36"/>
      <c r="L10" s="36"/>
      <c r="M10" s="36"/>
      <c r="N10" s="36"/>
      <c r="O10" s="36"/>
      <c r="P10" s="36"/>
      <c r="Q10" s="36"/>
      <c r="R10" s="36"/>
      <c r="S10" s="36"/>
      <c r="T10" s="36"/>
      <c r="U10" s="36"/>
      <c r="V10" s="36"/>
      <c r="W10" s="36"/>
      <c r="X10" s="36"/>
    </row>
    <row r="11" spans="1:24" ht="43.5" customHeight="1" x14ac:dyDescent="0.25">
      <c r="A11" s="326">
        <v>3</v>
      </c>
      <c r="B11" s="279" t="s">
        <v>44</v>
      </c>
      <c r="C11" s="514">
        <v>0</v>
      </c>
      <c r="D11" s="515">
        <f t="shared" si="0"/>
        <v>0</v>
      </c>
      <c r="E11" s="515">
        <f t="shared" si="0"/>
        <v>0</v>
      </c>
      <c r="F11" s="515">
        <v>0</v>
      </c>
      <c r="G11" s="515"/>
      <c r="H11" s="35"/>
      <c r="I11" s="35"/>
      <c r="J11" s="36"/>
      <c r="K11" s="36"/>
      <c r="L11" s="36"/>
      <c r="M11" s="36"/>
      <c r="N11" s="36"/>
      <c r="O11" s="36"/>
      <c r="P11" s="36"/>
      <c r="Q11" s="36"/>
      <c r="R11" s="36"/>
      <c r="S11" s="36"/>
      <c r="T11" s="36"/>
      <c r="U11" s="36"/>
      <c r="V11" s="36"/>
      <c r="W11" s="36"/>
      <c r="X11" s="36"/>
    </row>
    <row r="12" spans="1:24" ht="43.5" customHeight="1" x14ac:dyDescent="0.25">
      <c r="A12" s="326">
        <v>4</v>
      </c>
      <c r="B12" s="279" t="s">
        <v>45</v>
      </c>
      <c r="C12" s="514">
        <v>0</v>
      </c>
      <c r="D12" s="515">
        <f t="shared" si="0"/>
        <v>0</v>
      </c>
      <c r="E12" s="515">
        <f t="shared" si="0"/>
        <v>0</v>
      </c>
      <c r="F12" s="515">
        <v>0</v>
      </c>
      <c r="G12" s="515"/>
      <c r="H12" s="35"/>
      <c r="I12" s="35"/>
      <c r="J12" s="36"/>
      <c r="K12" s="36"/>
      <c r="L12" s="36"/>
      <c r="M12" s="36"/>
      <c r="N12" s="36"/>
      <c r="O12" s="36"/>
      <c r="P12" s="36"/>
      <c r="Q12" s="36"/>
      <c r="R12" s="36"/>
      <c r="S12" s="36"/>
      <c r="T12" s="36"/>
      <c r="U12" s="36"/>
      <c r="V12" s="36"/>
      <c r="W12" s="36"/>
      <c r="X12" s="36"/>
    </row>
    <row r="13" spans="1:24" ht="43.5" customHeight="1" x14ac:dyDescent="0.25">
      <c r="A13" s="326">
        <v>5</v>
      </c>
      <c r="B13" s="279" t="s">
        <v>46</v>
      </c>
      <c r="C13" s="514">
        <v>0</v>
      </c>
      <c r="D13" s="515">
        <f t="shared" si="0"/>
        <v>0</v>
      </c>
      <c r="E13" s="515">
        <f t="shared" si="0"/>
        <v>0</v>
      </c>
      <c r="F13" s="515">
        <v>0</v>
      </c>
      <c r="G13" s="515"/>
      <c r="H13" s="31"/>
      <c r="I13" s="31"/>
      <c r="J13" s="32"/>
      <c r="K13" s="32"/>
      <c r="L13" s="32"/>
      <c r="M13" s="32"/>
      <c r="N13" s="32"/>
      <c r="O13" s="32"/>
      <c r="P13" s="32"/>
      <c r="Q13" s="33"/>
      <c r="R13" s="33"/>
      <c r="S13" s="33"/>
      <c r="T13" s="33"/>
      <c r="U13" s="33"/>
      <c r="V13" s="33"/>
      <c r="W13" s="33"/>
      <c r="X13" s="33"/>
    </row>
    <row r="14" spans="1:24" ht="43.5" customHeight="1" x14ac:dyDescent="0.25">
      <c r="A14" s="326">
        <v>6</v>
      </c>
      <c r="B14" s="279" t="s">
        <v>47</v>
      </c>
      <c r="C14" s="514">
        <v>0</v>
      </c>
      <c r="D14" s="515">
        <f t="shared" si="0"/>
        <v>0</v>
      </c>
      <c r="E14" s="515">
        <f t="shared" si="0"/>
        <v>0</v>
      </c>
      <c r="F14" s="515">
        <v>0</v>
      </c>
      <c r="G14" s="515"/>
      <c r="H14" s="31"/>
      <c r="I14" s="31"/>
      <c r="J14" s="32"/>
      <c r="K14" s="32"/>
      <c r="L14" s="32"/>
      <c r="M14" s="32"/>
      <c r="N14" s="32"/>
      <c r="O14" s="32"/>
      <c r="P14" s="32"/>
      <c r="Q14" s="33"/>
      <c r="R14" s="33"/>
      <c r="S14" s="33"/>
      <c r="T14" s="33"/>
      <c r="U14" s="33"/>
      <c r="V14" s="33"/>
      <c r="W14" s="33"/>
      <c r="X14" s="33"/>
    </row>
    <row r="15" spans="1:24" ht="43.5" customHeight="1" x14ac:dyDescent="0.25">
      <c r="A15" s="326">
        <v>7</v>
      </c>
      <c r="B15" s="279" t="s">
        <v>48</v>
      </c>
      <c r="C15" s="514">
        <v>0</v>
      </c>
      <c r="D15" s="515">
        <f t="shared" si="0"/>
        <v>0</v>
      </c>
      <c r="E15" s="515">
        <f t="shared" si="0"/>
        <v>0</v>
      </c>
      <c r="F15" s="515">
        <v>0</v>
      </c>
      <c r="G15" s="515"/>
      <c r="H15" s="31"/>
      <c r="I15" s="31"/>
      <c r="J15" s="32"/>
      <c r="K15" s="32"/>
      <c r="L15" s="32"/>
      <c r="M15" s="32"/>
      <c r="N15" s="32"/>
      <c r="O15" s="32"/>
      <c r="P15" s="32"/>
      <c r="Q15" s="33"/>
      <c r="R15" s="33"/>
      <c r="S15" s="33"/>
      <c r="T15" s="33"/>
      <c r="U15" s="33"/>
      <c r="V15" s="33"/>
      <c r="W15" s="33"/>
      <c r="X15" s="33"/>
    </row>
    <row r="16" spans="1:24" ht="43.5" customHeight="1" x14ac:dyDescent="0.25">
      <c r="A16" s="326">
        <v>8</v>
      </c>
      <c r="B16" s="279" t="s">
        <v>49</v>
      </c>
      <c r="C16" s="514">
        <v>0</v>
      </c>
      <c r="D16" s="515">
        <f t="shared" si="0"/>
        <v>0</v>
      </c>
      <c r="E16" s="515">
        <f t="shared" si="0"/>
        <v>0</v>
      </c>
      <c r="F16" s="515">
        <v>0</v>
      </c>
      <c r="G16" s="515"/>
      <c r="H16" s="31"/>
      <c r="I16" s="31"/>
      <c r="J16" s="32"/>
      <c r="K16" s="32"/>
      <c r="L16" s="32"/>
      <c r="M16" s="32"/>
      <c r="N16" s="32"/>
      <c r="O16" s="32"/>
      <c r="P16" s="32"/>
      <c r="Q16" s="33"/>
      <c r="R16" s="33"/>
      <c r="S16" s="33"/>
      <c r="T16" s="33"/>
      <c r="U16" s="33"/>
      <c r="V16" s="33"/>
      <c r="W16" s="33"/>
      <c r="X16" s="33"/>
    </row>
    <row r="17" spans="1:24" s="40" customFormat="1" ht="43.5" customHeight="1" x14ac:dyDescent="0.25">
      <c r="A17" s="326">
        <v>9</v>
      </c>
      <c r="B17" s="279" t="s">
        <v>50</v>
      </c>
      <c r="C17" s="514">
        <v>0</v>
      </c>
      <c r="D17" s="515">
        <f t="shared" si="0"/>
        <v>0</v>
      </c>
      <c r="E17" s="515">
        <f t="shared" si="0"/>
        <v>0</v>
      </c>
      <c r="F17" s="515">
        <v>0</v>
      </c>
      <c r="G17" s="515"/>
      <c r="H17" s="37"/>
      <c r="I17" s="37"/>
      <c r="J17" s="38"/>
      <c r="K17" s="38"/>
      <c r="L17" s="38"/>
      <c r="M17" s="38"/>
      <c r="N17" s="39"/>
      <c r="O17" s="39"/>
      <c r="P17" s="39"/>
      <c r="Q17" s="39"/>
      <c r="R17" s="39"/>
      <c r="S17" s="39"/>
      <c r="T17" s="39"/>
      <c r="U17" s="39"/>
      <c r="V17" s="39"/>
      <c r="W17" s="39"/>
      <c r="X17" s="39"/>
    </row>
    <row r="18" spans="1:24" ht="37.5" x14ac:dyDescent="0.25">
      <c r="A18" s="326">
        <v>10</v>
      </c>
      <c r="B18" s="279" t="s">
        <v>51</v>
      </c>
      <c r="C18" s="514">
        <v>0</v>
      </c>
      <c r="D18" s="515">
        <f t="shared" si="0"/>
        <v>0</v>
      </c>
      <c r="E18" s="515">
        <f t="shared" si="0"/>
        <v>0</v>
      </c>
      <c r="F18" s="515">
        <v>0</v>
      </c>
      <c r="G18" s="515"/>
    </row>
    <row r="19" spans="1:24" ht="24.75" customHeight="1" x14ac:dyDescent="0.25">
      <c r="A19" s="327">
        <v>11</v>
      </c>
      <c r="B19" s="328" t="s">
        <v>72</v>
      </c>
      <c r="C19" s="516">
        <f>SUM(C9:C18)</f>
        <v>102</v>
      </c>
      <c r="D19" s="516">
        <f>SUM(D9:D18)</f>
        <v>0</v>
      </c>
      <c r="E19" s="516">
        <f>SUM(E9:E18)</f>
        <v>0</v>
      </c>
      <c r="F19" s="516">
        <f>SUM(F9:F18)</f>
        <v>0</v>
      </c>
      <c r="G19" s="516"/>
    </row>
    <row r="20" spans="1:24" s="40" customFormat="1" ht="16.5" x14ac:dyDescent="0.25">
      <c r="A20" s="119"/>
      <c r="B20" s="120"/>
      <c r="C20" s="34"/>
      <c r="D20" s="34"/>
      <c r="E20" s="34"/>
      <c r="F20" s="34"/>
      <c r="G20" s="34"/>
    </row>
    <row r="21" spans="1:24" ht="16.5" x14ac:dyDescent="0.25">
      <c r="A21" s="119"/>
      <c r="B21" s="120"/>
      <c r="H21" s="35"/>
      <c r="I21" s="35"/>
      <c r="J21" s="36"/>
      <c r="K21" s="36"/>
      <c r="L21" s="36"/>
      <c r="M21" s="36"/>
      <c r="N21" s="36"/>
      <c r="O21" s="36"/>
      <c r="P21" s="36"/>
      <c r="Q21" s="36"/>
      <c r="R21" s="36"/>
      <c r="S21" s="36"/>
      <c r="T21" s="36"/>
      <c r="U21" s="36"/>
      <c r="V21" s="36"/>
      <c r="W21" s="36"/>
      <c r="X21" s="36"/>
    </row>
    <row r="22" spans="1:24" ht="75" x14ac:dyDescent="0.25">
      <c r="A22" s="325" t="s">
        <v>41</v>
      </c>
      <c r="B22" s="339" t="str">
        <f t="shared" ref="B22:G22" si="1">B8</f>
        <v>Megnevezés</v>
      </c>
      <c r="C22" s="340" t="str">
        <f t="shared" si="1"/>
        <v>Önkormányzat 2016. évi eredeti előirányzat</v>
      </c>
      <c r="D22" s="340" t="str">
        <f t="shared" si="1"/>
        <v>Önkormányzat 2017. évi eredeti előirányzat</v>
      </c>
      <c r="E22" s="340" t="str">
        <f t="shared" si="1"/>
        <v>Önkormányzat 2017. évi módosított előirányzat 2017.12.31</v>
      </c>
      <c r="F22" s="340" t="str">
        <f t="shared" si="1"/>
        <v>Önkormányzat 2017. évi Teljesítés 2017.12.31</v>
      </c>
      <c r="G22" s="340" t="str">
        <f t="shared" si="1"/>
        <v>Teljesítés %-ban</v>
      </c>
      <c r="H22" s="35"/>
      <c r="I22" s="35"/>
      <c r="J22" s="36"/>
      <c r="K22" s="36"/>
      <c r="L22" s="36"/>
      <c r="M22" s="36"/>
      <c r="N22" s="36"/>
      <c r="O22" s="36"/>
      <c r="P22" s="36"/>
      <c r="Q22" s="36"/>
      <c r="R22" s="36"/>
      <c r="S22" s="36"/>
      <c r="T22" s="36"/>
      <c r="U22" s="36"/>
      <c r="V22" s="36"/>
      <c r="W22" s="36"/>
      <c r="X22" s="36"/>
    </row>
    <row r="23" spans="1:24" ht="39" customHeight="1" x14ac:dyDescent="0.25">
      <c r="A23" s="326">
        <v>1</v>
      </c>
      <c r="B23" s="279" t="s">
        <v>52</v>
      </c>
      <c r="C23" s="517">
        <v>0</v>
      </c>
      <c r="D23" s="517">
        <v>0</v>
      </c>
      <c r="E23" s="517">
        <f>D23</f>
        <v>0</v>
      </c>
      <c r="F23" s="517">
        <v>0</v>
      </c>
      <c r="G23" s="517"/>
      <c r="H23" s="35"/>
      <c r="I23" s="35"/>
      <c r="J23" s="36"/>
      <c r="K23" s="36"/>
      <c r="L23" s="36"/>
      <c r="M23" s="36"/>
      <c r="N23" s="36"/>
      <c r="O23" s="36"/>
      <c r="P23" s="36"/>
      <c r="Q23" s="36"/>
      <c r="R23" s="36"/>
      <c r="S23" s="36"/>
      <c r="T23" s="36"/>
      <c r="U23" s="36"/>
      <c r="V23" s="36"/>
      <c r="W23" s="36"/>
      <c r="X23" s="36"/>
    </row>
    <row r="24" spans="1:24" ht="39" customHeight="1" x14ac:dyDescent="0.25">
      <c r="A24" s="326">
        <v>2</v>
      </c>
      <c r="B24" s="279" t="s">
        <v>53</v>
      </c>
      <c r="C24" s="517">
        <v>0</v>
      </c>
      <c r="D24" s="517">
        <v>0</v>
      </c>
      <c r="E24" s="517">
        <f t="shared" ref="E24:E32" si="2">D24</f>
        <v>0</v>
      </c>
      <c r="F24" s="517">
        <v>0</v>
      </c>
      <c r="G24" s="517"/>
      <c r="H24" s="35"/>
      <c r="I24" s="35"/>
      <c r="J24" s="36"/>
      <c r="K24" s="36"/>
      <c r="L24" s="36"/>
      <c r="M24" s="36"/>
      <c r="N24" s="36"/>
      <c r="O24" s="36"/>
      <c r="P24" s="36"/>
      <c r="Q24" s="36"/>
      <c r="R24" s="36"/>
      <c r="S24" s="36"/>
      <c r="T24" s="36"/>
      <c r="U24" s="36"/>
      <c r="V24" s="36"/>
      <c r="W24" s="36"/>
      <c r="X24" s="36"/>
    </row>
    <row r="25" spans="1:24" ht="39" customHeight="1" x14ac:dyDescent="0.25">
      <c r="A25" s="326">
        <v>3</v>
      </c>
      <c r="B25" s="279" t="s">
        <v>679</v>
      </c>
      <c r="C25" s="518">
        <v>764</v>
      </c>
      <c r="D25" s="517">
        <v>660</v>
      </c>
      <c r="E25" s="517">
        <f t="shared" si="2"/>
        <v>660</v>
      </c>
      <c r="F25" s="517">
        <v>1396</v>
      </c>
      <c r="G25" s="1139">
        <f>F25/E25%</f>
        <v>211.51515151515153</v>
      </c>
      <c r="H25" s="35"/>
      <c r="I25" s="35"/>
      <c r="J25" s="36"/>
      <c r="K25" s="36"/>
      <c r="L25" s="36"/>
      <c r="M25" s="36"/>
      <c r="N25" s="36"/>
      <c r="O25" s="36"/>
      <c r="P25" s="36"/>
      <c r="Q25" s="36"/>
      <c r="R25" s="36"/>
      <c r="S25" s="36"/>
      <c r="T25" s="36"/>
      <c r="U25" s="36"/>
      <c r="V25" s="36"/>
      <c r="W25" s="36"/>
      <c r="X25" s="36"/>
    </row>
    <row r="26" spans="1:24" ht="39" customHeight="1" x14ac:dyDescent="0.25">
      <c r="A26" s="326">
        <v>4</v>
      </c>
      <c r="B26" s="279" t="s">
        <v>54</v>
      </c>
      <c r="C26" s="517">
        <v>0</v>
      </c>
      <c r="D26" s="517">
        <v>0</v>
      </c>
      <c r="E26" s="517">
        <f t="shared" si="2"/>
        <v>0</v>
      </c>
      <c r="F26" s="517">
        <v>0</v>
      </c>
      <c r="G26" s="517"/>
      <c r="H26" s="35"/>
      <c r="I26" s="35"/>
      <c r="J26" s="36"/>
      <c r="K26" s="36"/>
      <c r="L26" s="36"/>
      <c r="M26" s="36"/>
      <c r="N26" s="36"/>
      <c r="O26" s="36"/>
      <c r="P26" s="36"/>
      <c r="Q26" s="36"/>
      <c r="R26" s="36"/>
      <c r="S26" s="36"/>
      <c r="T26" s="36"/>
      <c r="U26" s="36"/>
      <c r="V26" s="36"/>
      <c r="W26" s="36"/>
      <c r="X26" s="36"/>
    </row>
    <row r="27" spans="1:24" ht="39" customHeight="1" x14ac:dyDescent="0.25">
      <c r="A27" s="326">
        <v>5</v>
      </c>
      <c r="B27" s="279" t="s">
        <v>55</v>
      </c>
      <c r="C27" s="517">
        <v>0</v>
      </c>
      <c r="D27" s="517">
        <v>0</v>
      </c>
      <c r="E27" s="517">
        <f t="shared" si="2"/>
        <v>0</v>
      </c>
      <c r="F27" s="517">
        <v>0</v>
      </c>
      <c r="G27" s="517"/>
      <c r="H27" s="35"/>
      <c r="I27" s="35"/>
      <c r="J27" s="36"/>
      <c r="K27" s="36"/>
      <c r="L27" s="36"/>
      <c r="M27" s="36"/>
      <c r="N27" s="36"/>
      <c r="O27" s="36"/>
      <c r="P27" s="36"/>
      <c r="Q27" s="36"/>
      <c r="R27" s="36"/>
      <c r="S27" s="36"/>
      <c r="T27" s="36"/>
      <c r="U27" s="36"/>
      <c r="V27" s="36"/>
      <c r="W27" s="36"/>
      <c r="X27" s="36"/>
    </row>
    <row r="28" spans="1:24" ht="39" customHeight="1" x14ac:dyDescent="0.25">
      <c r="A28" s="326">
        <v>6</v>
      </c>
      <c r="B28" s="279" t="s">
        <v>680</v>
      </c>
      <c r="C28" s="518">
        <v>5470</v>
      </c>
      <c r="D28" s="517">
        <v>2066</v>
      </c>
      <c r="E28" s="517">
        <f>D28-2066</f>
        <v>0</v>
      </c>
      <c r="F28" s="517">
        <v>0</v>
      </c>
      <c r="G28" s="517"/>
      <c r="H28" s="37"/>
      <c r="I28" s="37"/>
      <c r="J28" s="38"/>
      <c r="K28" s="38"/>
      <c r="L28" s="38"/>
      <c r="M28" s="38"/>
      <c r="N28" s="47"/>
      <c r="O28" s="47"/>
      <c r="P28" s="47"/>
      <c r="Q28" s="47"/>
      <c r="R28" s="47"/>
      <c r="S28" s="47"/>
      <c r="T28" s="47"/>
      <c r="U28" s="47"/>
      <c r="V28" s="47"/>
      <c r="W28" s="47"/>
      <c r="X28" s="47"/>
    </row>
    <row r="29" spans="1:24" ht="39" customHeight="1" x14ac:dyDescent="0.25">
      <c r="A29" s="326">
        <v>7</v>
      </c>
      <c r="B29" s="279" t="s">
        <v>56</v>
      </c>
      <c r="C29" s="517">
        <v>0</v>
      </c>
      <c r="D29" s="517">
        <v>0</v>
      </c>
      <c r="E29" s="517">
        <f t="shared" si="2"/>
        <v>0</v>
      </c>
      <c r="F29" s="517">
        <v>0</v>
      </c>
      <c r="G29" s="517"/>
    </row>
    <row r="30" spans="1:24" ht="39" customHeight="1" x14ac:dyDescent="0.25">
      <c r="A30" s="326">
        <v>8</v>
      </c>
      <c r="B30" s="279" t="s">
        <v>57</v>
      </c>
      <c r="C30" s="517">
        <v>0</v>
      </c>
      <c r="D30" s="517">
        <v>0</v>
      </c>
      <c r="E30" s="517">
        <f t="shared" si="2"/>
        <v>0</v>
      </c>
      <c r="F30" s="517">
        <v>0</v>
      </c>
      <c r="G30" s="517"/>
    </row>
    <row r="31" spans="1:24" s="40" customFormat="1" ht="39" customHeight="1" x14ac:dyDescent="0.25">
      <c r="A31" s="326">
        <v>9</v>
      </c>
      <c r="B31" s="279" t="s">
        <v>58</v>
      </c>
      <c r="C31" s="517">
        <v>0</v>
      </c>
      <c r="D31" s="517">
        <v>0</v>
      </c>
      <c r="E31" s="517">
        <f t="shared" si="2"/>
        <v>0</v>
      </c>
      <c r="F31" s="517">
        <v>0</v>
      </c>
      <c r="G31" s="517"/>
    </row>
    <row r="32" spans="1:24" ht="37.5" x14ac:dyDescent="0.25">
      <c r="A32" s="326">
        <v>10</v>
      </c>
      <c r="B32" s="279" t="s">
        <v>59</v>
      </c>
      <c r="C32" s="517">
        <v>0</v>
      </c>
      <c r="D32" s="517">
        <v>0</v>
      </c>
      <c r="E32" s="517">
        <f t="shared" si="2"/>
        <v>0</v>
      </c>
      <c r="F32" s="517">
        <v>0</v>
      </c>
      <c r="G32" s="517"/>
    </row>
    <row r="33" spans="1:7" ht="37.5" x14ac:dyDescent="0.25">
      <c r="A33" s="327">
        <v>11</v>
      </c>
      <c r="B33" s="328" t="s">
        <v>73</v>
      </c>
      <c r="C33" s="519">
        <f>SUM(C23:C32)</f>
        <v>6234</v>
      </c>
      <c r="D33" s="519">
        <f>SUM(D23:D32)</f>
        <v>2726</v>
      </c>
      <c r="E33" s="519">
        <f>SUM(E23:E32)</f>
        <v>660</v>
      </c>
      <c r="F33" s="519">
        <f>SUM(F23:F32)</f>
        <v>1396</v>
      </c>
      <c r="G33" s="1140">
        <f>F33/E33%</f>
        <v>211.51515151515153</v>
      </c>
    </row>
    <row r="34" spans="1:7" x14ac:dyDescent="0.25">
      <c r="A34" s="43"/>
      <c r="B34" s="41"/>
    </row>
    <row r="35" spans="1:7" x14ac:dyDescent="0.25">
      <c r="A35" s="43"/>
      <c r="B35" s="41"/>
    </row>
    <row r="36" spans="1:7" x14ac:dyDescent="0.25">
      <c r="A36" s="43"/>
      <c r="B36" s="44"/>
    </row>
    <row r="37" spans="1:7" x14ac:dyDescent="0.25">
      <c r="A37" s="43"/>
      <c r="B37" s="41"/>
    </row>
    <row r="38" spans="1:7" x14ac:dyDescent="0.25">
      <c r="A38" s="43"/>
      <c r="B38" s="41"/>
    </row>
    <row r="39" spans="1:7" x14ac:dyDescent="0.25">
      <c r="A39" s="43"/>
      <c r="B39" s="41"/>
    </row>
    <row r="40" spans="1:7" x14ac:dyDescent="0.25">
      <c r="A40" s="43"/>
      <c r="B40" s="41"/>
    </row>
    <row r="41" spans="1:7" x14ac:dyDescent="0.25">
      <c r="A41" s="43"/>
      <c r="B41" s="41"/>
    </row>
    <row r="42" spans="1:7" x14ac:dyDescent="0.25">
      <c r="A42" s="43"/>
      <c r="B42" s="41"/>
    </row>
    <row r="43" spans="1:7" x14ac:dyDescent="0.25">
      <c r="A43" s="43"/>
      <c r="B43" s="41"/>
    </row>
    <row r="44" spans="1:7" x14ac:dyDescent="0.25">
      <c r="A44" s="43"/>
      <c r="B44" s="41"/>
    </row>
    <row r="45" spans="1:7" x14ac:dyDescent="0.25">
      <c r="A45" s="43"/>
      <c r="B45" s="41"/>
    </row>
    <row r="46" spans="1:7" x14ac:dyDescent="0.25">
      <c r="A46" s="43"/>
      <c r="B46" s="41"/>
    </row>
    <row r="47" spans="1:7" x14ac:dyDescent="0.25">
      <c r="A47" s="43"/>
      <c r="B47" s="41"/>
    </row>
    <row r="48" spans="1:7" x14ac:dyDescent="0.25">
      <c r="A48" s="43"/>
      <c r="B48" s="41"/>
    </row>
    <row r="49" spans="1:3" x14ac:dyDescent="0.25">
      <c r="A49" s="43"/>
      <c r="B49" s="41"/>
    </row>
    <row r="50" spans="1:3" x14ac:dyDescent="0.25">
      <c r="A50" s="43"/>
      <c r="B50" s="41"/>
    </row>
    <row r="51" spans="1:3" x14ac:dyDescent="0.25">
      <c r="A51" s="43"/>
      <c r="B51" s="41"/>
    </row>
    <row r="52" spans="1:3" x14ac:dyDescent="0.25">
      <c r="A52" s="43"/>
      <c r="B52" s="41"/>
    </row>
    <row r="53" spans="1:3" x14ac:dyDescent="0.25">
      <c r="A53" s="43"/>
      <c r="B53" s="41"/>
    </row>
    <row r="54" spans="1:3" x14ac:dyDescent="0.25">
      <c r="A54" s="43"/>
      <c r="B54" s="41"/>
    </row>
    <row r="55" spans="1:3" x14ac:dyDescent="0.25">
      <c r="A55" s="43"/>
      <c r="B55" s="42"/>
    </row>
    <row r="56" spans="1:3" x14ac:dyDescent="0.25">
      <c r="A56" s="43"/>
      <c r="B56" s="42"/>
    </row>
    <row r="57" spans="1:3" x14ac:dyDescent="0.25">
      <c r="A57" s="43"/>
      <c r="B57" s="42"/>
    </row>
    <row r="58" spans="1:3" x14ac:dyDescent="0.25">
      <c r="A58" s="43"/>
      <c r="B58" s="42"/>
    </row>
    <row r="59" spans="1:3" x14ac:dyDescent="0.25">
      <c r="A59" s="43"/>
      <c r="B59" s="42"/>
    </row>
    <row r="60" spans="1:3" x14ac:dyDescent="0.25">
      <c r="A60" s="43"/>
      <c r="B60" s="42"/>
    </row>
    <row r="61" spans="1:3" x14ac:dyDescent="0.25">
      <c r="A61" s="43"/>
      <c r="B61" s="42"/>
    </row>
    <row r="64" spans="1:3" x14ac:dyDescent="0.25">
      <c r="A64" s="43"/>
      <c r="B64" s="42"/>
      <c r="C64" s="42"/>
    </row>
    <row r="65" spans="1:3" x14ac:dyDescent="0.25">
      <c r="A65" s="43"/>
      <c r="B65" s="42"/>
      <c r="C65" s="42"/>
    </row>
    <row r="66" spans="1:3" x14ac:dyDescent="0.25">
      <c r="A66" s="43"/>
      <c r="B66" s="42"/>
      <c r="C66" s="42"/>
    </row>
    <row r="67" spans="1:3" x14ac:dyDescent="0.25">
      <c r="A67" s="43"/>
      <c r="B67" s="42"/>
      <c r="C67" s="42"/>
    </row>
    <row r="68" spans="1:3" x14ac:dyDescent="0.25">
      <c r="A68" s="43"/>
      <c r="B68" s="42"/>
      <c r="C68" s="42"/>
    </row>
    <row r="69" spans="1:3" x14ac:dyDescent="0.25">
      <c r="A69" s="43"/>
      <c r="B69" s="42"/>
      <c r="C69" s="42"/>
    </row>
    <row r="70" spans="1:3" x14ac:dyDescent="0.25">
      <c r="A70" s="43"/>
      <c r="B70" s="42"/>
      <c r="C70" s="42"/>
    </row>
    <row r="71" spans="1:3" x14ac:dyDescent="0.25">
      <c r="A71" s="43"/>
      <c r="B71" s="42"/>
      <c r="C71" s="42"/>
    </row>
    <row r="72" spans="1:3" x14ac:dyDescent="0.25">
      <c r="A72" s="43"/>
      <c r="B72" s="42"/>
      <c r="C72" s="42"/>
    </row>
    <row r="73" spans="1:3" x14ac:dyDescent="0.25">
      <c r="A73" s="43"/>
      <c r="B73" s="42"/>
      <c r="C73" s="42"/>
    </row>
    <row r="74" spans="1:3" x14ac:dyDescent="0.25">
      <c r="A74" s="43"/>
      <c r="B74" s="42"/>
      <c r="C74" s="42"/>
    </row>
    <row r="75" spans="1:3" x14ac:dyDescent="0.25">
      <c r="A75" s="43"/>
      <c r="B75" s="42"/>
      <c r="C75" s="42"/>
    </row>
    <row r="76" spans="1:3" x14ac:dyDescent="0.25">
      <c r="A76" s="43"/>
      <c r="B76" s="42"/>
      <c r="C76" s="42"/>
    </row>
    <row r="77" spans="1:3" x14ac:dyDescent="0.25">
      <c r="A77" s="43"/>
      <c r="B77" s="42"/>
      <c r="C77" s="42"/>
    </row>
    <row r="78" spans="1:3" x14ac:dyDescent="0.25">
      <c r="A78" s="43"/>
      <c r="B78" s="42"/>
      <c r="C78" s="42"/>
    </row>
    <row r="79" spans="1:3" x14ac:dyDescent="0.25">
      <c r="A79" s="43"/>
      <c r="B79" s="42"/>
      <c r="C79" s="42"/>
    </row>
    <row r="80" spans="1:3" x14ac:dyDescent="0.25">
      <c r="A80" s="43"/>
      <c r="B80" s="42"/>
      <c r="C80" s="42"/>
    </row>
    <row r="81" spans="1:3" x14ac:dyDescent="0.25">
      <c r="A81" s="43"/>
      <c r="B81" s="42"/>
      <c r="C81" s="42"/>
    </row>
    <row r="82" spans="1:3" x14ac:dyDescent="0.25">
      <c r="A82" s="43"/>
      <c r="B82" s="42"/>
      <c r="C82" s="42"/>
    </row>
    <row r="83" spans="1:3" x14ac:dyDescent="0.25">
      <c r="A83" s="43"/>
      <c r="B83" s="42"/>
      <c r="C83" s="42"/>
    </row>
    <row r="84" spans="1:3" x14ac:dyDescent="0.25">
      <c r="A84" s="43"/>
      <c r="B84" s="42"/>
      <c r="C84" s="42"/>
    </row>
    <row r="85" spans="1:3" x14ac:dyDescent="0.25">
      <c r="A85" s="43"/>
      <c r="B85" s="42"/>
      <c r="C85" s="42"/>
    </row>
    <row r="86" spans="1:3" x14ac:dyDescent="0.25">
      <c r="A86" s="43"/>
      <c r="B86" s="42"/>
      <c r="C86" s="42"/>
    </row>
    <row r="87" spans="1:3" x14ac:dyDescent="0.25">
      <c r="A87" s="43"/>
      <c r="B87" s="42"/>
      <c r="C87" s="42"/>
    </row>
    <row r="88" spans="1:3" x14ac:dyDescent="0.25">
      <c r="A88" s="43"/>
      <c r="B88" s="42"/>
      <c r="C88" s="42"/>
    </row>
    <row r="89" spans="1:3" x14ac:dyDescent="0.25">
      <c r="A89" s="43"/>
      <c r="B89" s="42"/>
      <c r="C89" s="42"/>
    </row>
    <row r="90" spans="1:3" x14ac:dyDescent="0.25">
      <c r="A90" s="43"/>
      <c r="B90" s="42"/>
      <c r="C90" s="42"/>
    </row>
    <row r="91" spans="1:3" x14ac:dyDescent="0.25">
      <c r="A91" s="43"/>
      <c r="B91" s="42"/>
      <c r="C91" s="42"/>
    </row>
    <row r="92" spans="1:3" x14ac:dyDescent="0.25">
      <c r="A92" s="43"/>
      <c r="B92" s="42"/>
      <c r="C92" s="42"/>
    </row>
    <row r="93" spans="1:3" x14ac:dyDescent="0.25">
      <c r="A93" s="43"/>
      <c r="B93" s="42"/>
      <c r="C93" s="42"/>
    </row>
    <row r="94" spans="1:3" x14ac:dyDescent="0.25">
      <c r="A94" s="43"/>
      <c r="B94" s="42"/>
      <c r="C94" s="42"/>
    </row>
    <row r="95" spans="1:3" x14ac:dyDescent="0.25">
      <c r="A95" s="43"/>
      <c r="B95" s="42"/>
      <c r="C95" s="42"/>
    </row>
    <row r="96" spans="1:3" x14ac:dyDescent="0.25">
      <c r="A96" s="43"/>
      <c r="B96" s="42"/>
      <c r="C96" s="42"/>
    </row>
    <row r="97" spans="1:3" x14ac:dyDescent="0.25">
      <c r="A97" s="43"/>
      <c r="B97" s="42"/>
      <c r="C97" s="42"/>
    </row>
    <row r="98" spans="1:3" x14ac:dyDescent="0.25">
      <c r="A98" s="43"/>
      <c r="B98" s="42"/>
      <c r="C98" s="42"/>
    </row>
    <row r="99" spans="1:3" x14ac:dyDescent="0.25">
      <c r="A99" s="43"/>
      <c r="B99" s="42"/>
      <c r="C99" s="42"/>
    </row>
    <row r="100" spans="1:3" x14ac:dyDescent="0.25">
      <c r="A100" s="43"/>
      <c r="B100" s="42"/>
      <c r="C100" s="42"/>
    </row>
    <row r="101" spans="1:3" x14ac:dyDescent="0.25">
      <c r="A101" s="43"/>
      <c r="B101" s="42"/>
      <c r="C101" s="42"/>
    </row>
    <row r="102" spans="1:3" x14ac:dyDescent="0.25">
      <c r="A102" s="43"/>
      <c r="B102" s="42"/>
      <c r="C102" s="42"/>
    </row>
    <row r="103" spans="1:3" x14ac:dyDescent="0.25">
      <c r="A103" s="43"/>
      <c r="B103" s="42"/>
      <c r="C103" s="42"/>
    </row>
    <row r="104" spans="1:3" x14ac:dyDescent="0.25">
      <c r="A104" s="43"/>
      <c r="B104" s="42"/>
      <c r="C104" s="42"/>
    </row>
    <row r="105" spans="1:3" x14ac:dyDescent="0.25">
      <c r="A105" s="43"/>
      <c r="B105" s="42"/>
      <c r="C105" s="42"/>
    </row>
    <row r="106" spans="1:3" x14ac:dyDescent="0.25">
      <c r="A106" s="43"/>
      <c r="B106" s="42"/>
      <c r="C106" s="42"/>
    </row>
    <row r="107" spans="1:3" x14ac:dyDescent="0.25">
      <c r="A107" s="43"/>
      <c r="B107" s="42"/>
      <c r="C107" s="42"/>
    </row>
    <row r="108" spans="1:3" x14ac:dyDescent="0.25">
      <c r="A108" s="43"/>
      <c r="B108" s="42"/>
      <c r="C108" s="42"/>
    </row>
    <row r="109" spans="1:3" x14ac:dyDescent="0.25">
      <c r="A109" s="43"/>
      <c r="B109" s="42"/>
      <c r="C109" s="42"/>
    </row>
    <row r="110" spans="1:3" x14ac:dyDescent="0.25">
      <c r="A110" s="43"/>
      <c r="B110" s="42"/>
      <c r="C110" s="42"/>
    </row>
    <row r="111" spans="1:3" x14ac:dyDescent="0.25">
      <c r="A111" s="43"/>
      <c r="B111" s="42"/>
      <c r="C111" s="42"/>
    </row>
    <row r="112" spans="1:3" x14ac:dyDescent="0.25">
      <c r="A112" s="43"/>
      <c r="B112" s="42"/>
      <c r="C112" s="42"/>
    </row>
    <row r="113" spans="1:3" x14ac:dyDescent="0.25">
      <c r="A113" s="43"/>
      <c r="B113" s="42"/>
      <c r="C113" s="42"/>
    </row>
    <row r="114" spans="1:3" x14ac:dyDescent="0.25">
      <c r="A114" s="43"/>
      <c r="B114" s="42"/>
      <c r="C114" s="42"/>
    </row>
    <row r="115" spans="1:3" x14ac:dyDescent="0.25">
      <c r="A115" s="43"/>
      <c r="B115" s="42"/>
      <c r="C115" s="42"/>
    </row>
    <row r="116" spans="1:3" x14ac:dyDescent="0.25">
      <c r="A116" s="43"/>
      <c r="B116" s="42"/>
      <c r="C116" s="42"/>
    </row>
    <row r="117" spans="1:3" x14ac:dyDescent="0.25">
      <c r="A117" s="43"/>
      <c r="B117" s="42"/>
      <c r="C117" s="42"/>
    </row>
    <row r="118" spans="1:3" x14ac:dyDescent="0.25">
      <c r="A118" s="43"/>
      <c r="B118" s="42"/>
      <c r="C118" s="42"/>
    </row>
    <row r="119" spans="1:3" x14ac:dyDescent="0.25">
      <c r="A119" s="43"/>
      <c r="B119" s="42"/>
      <c r="C119" s="42"/>
    </row>
    <row r="120" spans="1:3" x14ac:dyDescent="0.25">
      <c r="A120" s="43"/>
      <c r="B120" s="42"/>
      <c r="C120" s="42"/>
    </row>
    <row r="121" spans="1:3" x14ac:dyDescent="0.25">
      <c r="A121" s="43"/>
      <c r="B121" s="42"/>
      <c r="C121" s="42"/>
    </row>
    <row r="122" spans="1:3" x14ac:dyDescent="0.25">
      <c r="A122" s="43"/>
      <c r="B122" s="42"/>
      <c r="C122" s="42"/>
    </row>
    <row r="123" spans="1:3" x14ac:dyDescent="0.25">
      <c r="A123" s="43"/>
      <c r="B123" s="42"/>
      <c r="C123" s="42"/>
    </row>
    <row r="124" spans="1:3" x14ac:dyDescent="0.25">
      <c r="A124" s="43"/>
      <c r="B124" s="42"/>
      <c r="C124" s="42"/>
    </row>
    <row r="125" spans="1:3" x14ac:dyDescent="0.25">
      <c r="A125" s="43"/>
      <c r="B125" s="42"/>
      <c r="C125" s="42"/>
    </row>
    <row r="126" spans="1:3" x14ac:dyDescent="0.25">
      <c r="A126" s="43"/>
      <c r="B126" s="42"/>
      <c r="C126" s="42"/>
    </row>
    <row r="127" spans="1:3" x14ac:dyDescent="0.25">
      <c r="A127" s="43"/>
      <c r="B127" s="42"/>
      <c r="C127" s="42"/>
    </row>
    <row r="128" spans="1:3" x14ac:dyDescent="0.25">
      <c r="A128" s="43"/>
      <c r="B128" s="42"/>
      <c r="C128" s="42"/>
    </row>
    <row r="129" spans="1:3" x14ac:dyDescent="0.25">
      <c r="A129" s="43"/>
      <c r="B129" s="42"/>
      <c r="C129" s="42"/>
    </row>
    <row r="130" spans="1:3" x14ac:dyDescent="0.25">
      <c r="A130" s="43"/>
      <c r="B130" s="42"/>
      <c r="C130" s="42"/>
    </row>
    <row r="131" spans="1:3" x14ac:dyDescent="0.25">
      <c r="A131" s="43"/>
      <c r="B131" s="42"/>
      <c r="C131" s="42"/>
    </row>
    <row r="132" spans="1:3" x14ac:dyDescent="0.25">
      <c r="A132" s="43"/>
      <c r="B132" s="42"/>
      <c r="C132" s="42"/>
    </row>
    <row r="133" spans="1:3" x14ac:dyDescent="0.25">
      <c r="A133" s="43"/>
      <c r="B133" s="42"/>
      <c r="C133" s="42"/>
    </row>
    <row r="134" spans="1:3" x14ac:dyDescent="0.25">
      <c r="A134" s="43"/>
      <c r="B134" s="42"/>
      <c r="C134" s="42"/>
    </row>
    <row r="135" spans="1:3" x14ac:dyDescent="0.25">
      <c r="A135" s="43"/>
      <c r="B135" s="42"/>
      <c r="C135" s="42"/>
    </row>
    <row r="136" spans="1:3" x14ac:dyDescent="0.25">
      <c r="A136" s="43"/>
      <c r="B136" s="42"/>
      <c r="C136" s="42"/>
    </row>
    <row r="137" spans="1:3" x14ac:dyDescent="0.25">
      <c r="A137" s="43"/>
      <c r="B137" s="42"/>
      <c r="C137" s="42"/>
    </row>
    <row r="138" spans="1:3" x14ac:dyDescent="0.25">
      <c r="A138" s="43"/>
      <c r="B138" s="42"/>
      <c r="C138" s="42"/>
    </row>
    <row r="139" spans="1:3" x14ac:dyDescent="0.25">
      <c r="A139" s="43"/>
      <c r="B139" s="42"/>
      <c r="C139" s="42"/>
    </row>
    <row r="140" spans="1:3" x14ac:dyDescent="0.25">
      <c r="A140" s="43"/>
      <c r="B140" s="42"/>
      <c r="C140" s="42"/>
    </row>
    <row r="141" spans="1:3" x14ac:dyDescent="0.25">
      <c r="A141" s="43"/>
      <c r="B141" s="42"/>
      <c r="C141" s="42"/>
    </row>
    <row r="142" spans="1:3" x14ac:dyDescent="0.25">
      <c r="A142" s="43"/>
      <c r="B142" s="42"/>
      <c r="C142" s="42"/>
    </row>
    <row r="143" spans="1:3" x14ac:dyDescent="0.25">
      <c r="A143" s="43"/>
      <c r="B143" s="42"/>
      <c r="C143" s="42"/>
    </row>
    <row r="144" spans="1:3" x14ac:dyDescent="0.25">
      <c r="A144" s="43"/>
      <c r="B144" s="42"/>
      <c r="C144" s="42"/>
    </row>
    <row r="145" spans="1:3" x14ac:dyDescent="0.25">
      <c r="A145" s="43"/>
      <c r="B145" s="42"/>
      <c r="C145" s="42"/>
    </row>
    <row r="146" spans="1:3" x14ac:dyDescent="0.25">
      <c r="A146" s="43"/>
      <c r="B146" s="42"/>
      <c r="C146" s="42"/>
    </row>
    <row r="147" spans="1:3" x14ac:dyDescent="0.25">
      <c r="A147" s="43"/>
      <c r="B147" s="42"/>
      <c r="C147" s="42"/>
    </row>
    <row r="148" spans="1:3" x14ac:dyDescent="0.25">
      <c r="A148" s="43"/>
      <c r="B148" s="42"/>
      <c r="C148" s="42"/>
    </row>
    <row r="149" spans="1:3" x14ac:dyDescent="0.25">
      <c r="A149" s="43"/>
      <c r="B149" s="42"/>
      <c r="C149" s="42"/>
    </row>
    <row r="150" spans="1:3" x14ac:dyDescent="0.25">
      <c r="A150" s="43"/>
      <c r="B150" s="42"/>
      <c r="C150" s="42"/>
    </row>
    <row r="151" spans="1:3" x14ac:dyDescent="0.25">
      <c r="A151" s="43"/>
      <c r="B151" s="42"/>
      <c r="C151" s="42"/>
    </row>
    <row r="152" spans="1:3" x14ac:dyDescent="0.25">
      <c r="A152" s="43"/>
      <c r="B152" s="42"/>
      <c r="C152" s="42"/>
    </row>
    <row r="153" spans="1:3" x14ac:dyDescent="0.25">
      <c r="A153" s="43"/>
      <c r="B153" s="42"/>
      <c r="C153" s="42"/>
    </row>
    <row r="154" spans="1:3" x14ac:dyDescent="0.25">
      <c r="A154" s="43"/>
      <c r="B154" s="42"/>
      <c r="C154" s="42"/>
    </row>
    <row r="155" spans="1:3" x14ac:dyDescent="0.25">
      <c r="A155" s="43"/>
      <c r="B155" s="42"/>
      <c r="C155" s="42"/>
    </row>
    <row r="156" spans="1:3" x14ac:dyDescent="0.25">
      <c r="A156" s="43"/>
      <c r="B156" s="42"/>
      <c r="C156" s="42"/>
    </row>
    <row r="157" spans="1:3" x14ac:dyDescent="0.25">
      <c r="A157" s="43"/>
      <c r="B157" s="42"/>
      <c r="C157" s="42"/>
    </row>
    <row r="158" spans="1:3" x14ac:dyDescent="0.25">
      <c r="A158" s="43"/>
      <c r="B158" s="42"/>
      <c r="C158" s="42"/>
    </row>
    <row r="159" spans="1:3" x14ac:dyDescent="0.25">
      <c r="A159" s="43"/>
      <c r="B159" s="42"/>
      <c r="C159" s="42"/>
    </row>
    <row r="160" spans="1:3" x14ac:dyDescent="0.25">
      <c r="A160" s="43"/>
      <c r="B160" s="42"/>
      <c r="C160" s="42"/>
    </row>
    <row r="161" spans="1:3" x14ac:dyDescent="0.25">
      <c r="A161" s="43"/>
      <c r="B161" s="42"/>
      <c r="C161" s="42"/>
    </row>
    <row r="162" spans="1:3" x14ac:dyDescent="0.25">
      <c r="A162" s="43"/>
      <c r="B162" s="42"/>
      <c r="C162" s="42"/>
    </row>
    <row r="163" spans="1:3" x14ac:dyDescent="0.25">
      <c r="A163" s="43"/>
      <c r="B163" s="42"/>
      <c r="C163" s="42"/>
    </row>
    <row r="164" spans="1:3" x14ac:dyDescent="0.25">
      <c r="A164" s="43"/>
      <c r="B164" s="42"/>
      <c r="C164" s="42"/>
    </row>
    <row r="165" spans="1:3" x14ac:dyDescent="0.25">
      <c r="A165" s="43"/>
      <c r="B165" s="42"/>
      <c r="C165" s="42"/>
    </row>
    <row r="166" spans="1:3" x14ac:dyDescent="0.25">
      <c r="A166" s="43"/>
      <c r="B166" s="42"/>
      <c r="C166" s="42"/>
    </row>
    <row r="167" spans="1:3" x14ac:dyDescent="0.25">
      <c r="A167" s="43"/>
      <c r="B167" s="42"/>
      <c r="C167" s="42"/>
    </row>
    <row r="168" spans="1:3" x14ac:dyDescent="0.25">
      <c r="A168" s="43"/>
      <c r="B168" s="42"/>
      <c r="C168" s="42"/>
    </row>
    <row r="169" spans="1:3" x14ac:dyDescent="0.25">
      <c r="A169" s="43"/>
      <c r="B169" s="42"/>
      <c r="C169" s="42"/>
    </row>
    <row r="170" spans="1:3" x14ac:dyDescent="0.25">
      <c r="A170" s="43"/>
      <c r="B170" s="42"/>
      <c r="C170" s="42"/>
    </row>
    <row r="171" spans="1:3" x14ac:dyDescent="0.25">
      <c r="A171" s="43"/>
      <c r="B171" s="42"/>
      <c r="C171" s="42"/>
    </row>
    <row r="172" spans="1:3" x14ac:dyDescent="0.25">
      <c r="A172" s="43"/>
      <c r="B172" s="42"/>
      <c r="C172" s="42"/>
    </row>
    <row r="173" spans="1:3" x14ac:dyDescent="0.25">
      <c r="A173" s="43"/>
      <c r="B173" s="42"/>
      <c r="C173" s="42"/>
    </row>
    <row r="174" spans="1:3" x14ac:dyDescent="0.25">
      <c r="A174" s="43"/>
      <c r="B174" s="42"/>
      <c r="C174" s="42"/>
    </row>
    <row r="175" spans="1:3" x14ac:dyDescent="0.25">
      <c r="A175" s="43"/>
      <c r="B175" s="42"/>
      <c r="C175" s="42"/>
    </row>
    <row r="176" spans="1:3" x14ac:dyDescent="0.25">
      <c r="A176" s="43"/>
      <c r="B176" s="42"/>
      <c r="C176" s="42"/>
    </row>
    <row r="177" spans="1:3" x14ac:dyDescent="0.25">
      <c r="A177" s="43"/>
      <c r="B177" s="42"/>
      <c r="C177" s="42"/>
    </row>
    <row r="178" spans="1:3" x14ac:dyDescent="0.25">
      <c r="A178" s="43"/>
      <c r="B178" s="42"/>
      <c r="C178" s="42"/>
    </row>
    <row r="179" spans="1:3" x14ac:dyDescent="0.25">
      <c r="A179" s="43"/>
      <c r="B179" s="42"/>
      <c r="C179" s="42"/>
    </row>
    <row r="180" spans="1:3" x14ac:dyDescent="0.25">
      <c r="A180" s="43"/>
      <c r="B180" s="42"/>
      <c r="C180" s="42"/>
    </row>
    <row r="181" spans="1:3" x14ac:dyDescent="0.25">
      <c r="A181" s="43"/>
      <c r="B181" s="42"/>
      <c r="C181" s="42"/>
    </row>
  </sheetData>
  <mergeCells count="3">
    <mergeCell ref="A1:G1"/>
    <mergeCell ref="A2:G2"/>
    <mergeCell ref="A4:G4"/>
  </mergeCells>
  <phoneticPr fontId="62" type="noConversion"/>
  <printOptions horizontalCentered="1"/>
  <pageMargins left="1.1811023622047245" right="0.78740157480314965" top="0.4" bottom="0.26" header="0.51181102362204722" footer="0.51181102362204722"/>
  <pageSetup paperSize="9" scale="46" orientation="portrait"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Munka20">
    <tabColor theme="3" tint="0.39997558519241921"/>
    <pageSetUpPr fitToPage="1"/>
  </sheetPr>
  <dimension ref="A1:K37"/>
  <sheetViews>
    <sheetView view="pageBreakPreview" zoomScaleSheetLayoutView="100" workbookViewId="0">
      <selection activeCell="A2" sqref="A2:O2"/>
    </sheetView>
  </sheetViews>
  <sheetFormatPr defaultRowHeight="15.75" x14ac:dyDescent="0.25"/>
  <cols>
    <col min="1" max="1" width="9.7109375" style="28" customWidth="1"/>
    <col min="2" max="2" width="10.85546875" style="4" customWidth="1"/>
    <col min="3" max="3" width="64" style="4" customWidth="1"/>
    <col min="4" max="4" width="24.28515625" style="4" hidden="1" customWidth="1"/>
    <col min="5" max="6" width="26.28515625" style="4" customWidth="1"/>
    <col min="7" max="7" width="20.140625" style="4" customWidth="1"/>
    <col min="8" max="8" width="14.7109375" style="4" customWidth="1"/>
    <col min="9" max="16384" width="9.140625" style="4"/>
  </cols>
  <sheetData>
    <row r="1" spans="1:11" ht="18.75" x14ac:dyDescent="0.3">
      <c r="A1" s="2505" t="str">
        <f>Tartalomjegyzék_2017!A1</f>
        <v>Pilisvörösvár Város Önkormányzata Képviselő-testületének 7/2018. (IV. 27.) önkormányzati rendelete</v>
      </c>
      <c r="B1" s="2505"/>
      <c r="C1" s="2505"/>
      <c r="D1" s="2504"/>
      <c r="E1" s="2504"/>
      <c r="F1" s="2504"/>
      <c r="G1" s="2504"/>
      <c r="H1" s="2504"/>
    </row>
    <row r="2" spans="1:11" ht="18.75" customHeight="1" x14ac:dyDescent="0.3">
      <c r="A2" s="2505" t="str">
        <f>'14. Átvett pénze.(B6,B7)'!A2:G2</f>
        <v>az Önkormányzat  2017. évi zárszámadásáról</v>
      </c>
      <c r="B2" s="2505"/>
      <c r="C2" s="2505"/>
      <c r="D2" s="2504"/>
      <c r="E2" s="2504"/>
      <c r="F2" s="2504"/>
      <c r="G2" s="2504"/>
      <c r="H2" s="2504"/>
    </row>
    <row r="3" spans="1:11" ht="18.75" x14ac:dyDescent="0.3">
      <c r="A3" s="121"/>
      <c r="B3" s="7"/>
      <c r="C3" s="7"/>
    </row>
    <row r="4" spans="1:11" ht="18.75" customHeight="1" x14ac:dyDescent="0.3">
      <c r="A4" s="2505" t="str">
        <f>Tartalomjegyzék_2017!B22</f>
        <v>Pilisvörösvár Város Önkormányzata finanszírozási bevételei és kiadásai</v>
      </c>
      <c r="B4" s="2505" t="s">
        <v>338</v>
      </c>
      <c r="C4" s="2505"/>
      <c r="D4" s="2504"/>
      <c r="E4" s="2504"/>
      <c r="F4" s="2504"/>
      <c r="G4" s="2504"/>
      <c r="H4" s="2504"/>
    </row>
    <row r="5" spans="1:11" ht="18.75" customHeight="1" x14ac:dyDescent="0.3">
      <c r="A5" s="596"/>
      <c r="B5" s="596"/>
      <c r="C5" s="596"/>
      <c r="D5" s="597"/>
      <c r="G5" s="697"/>
      <c r="H5" s="602" t="s">
        <v>821</v>
      </c>
    </row>
    <row r="6" spans="1:11" ht="18.75" x14ac:dyDescent="0.3">
      <c r="A6" s="121"/>
      <c r="B6" s="110"/>
      <c r="C6" s="110"/>
      <c r="G6" s="262"/>
      <c r="H6" s="262"/>
    </row>
    <row r="7" spans="1:11" s="18" customFormat="1" ht="19.5" thickBot="1" x14ac:dyDescent="0.35">
      <c r="A7" s="28"/>
      <c r="B7" s="4"/>
      <c r="C7" s="4"/>
      <c r="G7" s="263"/>
      <c r="H7" s="263" t="s">
        <v>323</v>
      </c>
    </row>
    <row r="8" spans="1:11" s="18" customFormat="1" ht="58.5" customHeight="1" thickBot="1" x14ac:dyDescent="0.3">
      <c r="A8" s="30" t="s">
        <v>60</v>
      </c>
      <c r="B8" s="814" t="s">
        <v>364</v>
      </c>
      <c r="C8" s="815" t="s">
        <v>441</v>
      </c>
      <c r="D8" s="814" t="s">
        <v>632</v>
      </c>
      <c r="E8" s="814" t="str">
        <f>'14. Átvett pénze.(B6,B7)'!D22</f>
        <v>Önkormányzat 2017. évi eredeti előirányzat</v>
      </c>
      <c r="F8" s="814" t="str">
        <f>'14. Átvett pénze.(B6,B7)'!E22</f>
        <v>Önkormányzat 2017. évi módosított előirányzat 2017.12.31</v>
      </c>
      <c r="G8" s="814" t="str">
        <f>'14. Átvett pénze.(B6,B7)'!F22</f>
        <v>Önkormányzat 2017. évi Teljesítés 2017.12.31</v>
      </c>
      <c r="H8" s="46" t="str">
        <f>'14. Átvett pénze.(B6,B7)'!G22</f>
        <v>Teljesítés %-ban</v>
      </c>
    </row>
    <row r="9" spans="1:11" s="18" customFormat="1" ht="26.25" customHeight="1" x14ac:dyDescent="0.25">
      <c r="A9" s="816">
        <v>1</v>
      </c>
      <c r="B9" s="125" t="s">
        <v>150</v>
      </c>
      <c r="C9" s="126" t="s">
        <v>149</v>
      </c>
      <c r="D9" s="642">
        <v>0</v>
      </c>
      <c r="E9" s="642"/>
      <c r="F9" s="642">
        <f>E9</f>
        <v>0</v>
      </c>
      <c r="G9" s="642"/>
      <c r="H9" s="1067"/>
    </row>
    <row r="10" spans="1:11" s="18" customFormat="1" ht="30" customHeight="1" x14ac:dyDescent="0.25">
      <c r="A10" s="817">
        <v>2</v>
      </c>
      <c r="B10" s="22" t="s">
        <v>425</v>
      </c>
      <c r="C10" s="17" t="s">
        <v>424</v>
      </c>
      <c r="D10" s="642">
        <v>0</v>
      </c>
      <c r="E10" s="642"/>
      <c r="F10" s="642">
        <f>E10</f>
        <v>0</v>
      </c>
      <c r="G10" s="642"/>
      <c r="H10" s="1067"/>
    </row>
    <row r="11" spans="1:11" s="18" customFormat="1" ht="27" customHeight="1" x14ac:dyDescent="0.25">
      <c r="A11" s="818">
        <v>3</v>
      </c>
      <c r="B11" s="19" t="s">
        <v>427</v>
      </c>
      <c r="C11" s="20" t="s">
        <v>426</v>
      </c>
      <c r="D11" s="699">
        <f>SUM(D9:D10)</f>
        <v>0</v>
      </c>
      <c r="E11" s="699">
        <f>SUM(E9:E10)</f>
        <v>0</v>
      </c>
      <c r="F11" s="699">
        <f>SUM(F9:F10)</f>
        <v>0</v>
      </c>
      <c r="G11" s="699"/>
      <c r="H11" s="1068"/>
    </row>
    <row r="12" spans="1:11" s="18" customFormat="1" ht="27" customHeight="1" x14ac:dyDescent="0.25">
      <c r="A12" s="818">
        <v>4</v>
      </c>
      <c r="B12" s="19" t="s">
        <v>652</v>
      </c>
      <c r="C12" s="20" t="s">
        <v>1026</v>
      </c>
      <c r="D12" s="699"/>
      <c r="E12" s="699"/>
      <c r="F12" s="699">
        <f>200000+150000</f>
        <v>350000</v>
      </c>
      <c r="G12" s="699">
        <v>200000</v>
      </c>
      <c r="H12" s="1487">
        <f>G12/F12%</f>
        <v>57.142857142857146</v>
      </c>
    </row>
    <row r="13" spans="1:11" s="700" customFormat="1" ht="35.25" customHeight="1" x14ac:dyDescent="0.2">
      <c r="A13" s="819">
        <v>5</v>
      </c>
      <c r="B13" s="22" t="s">
        <v>429</v>
      </c>
      <c r="C13" s="16" t="s">
        <v>428</v>
      </c>
      <c r="D13" s="520">
        <f>190+889+420+2000+1207+3112+343+1700+9918+5082+442+58+5000+6832</f>
        <v>37193</v>
      </c>
      <c r="E13" s="642">
        <f>19955+66713+156+123+84+2211+644+400</f>
        <v>90286</v>
      </c>
      <c r="F13" s="642">
        <f>E13+14591-5154</f>
        <v>99723</v>
      </c>
      <c r="G13" s="642">
        <v>99723</v>
      </c>
      <c r="H13" s="1488">
        <f t="shared" ref="H13:H21" si="0">G13/F13%</f>
        <v>100</v>
      </c>
      <c r="K13" s="701"/>
    </row>
    <row r="14" spans="1:11" s="700" customFormat="1" ht="39" customHeight="1" x14ac:dyDescent="0.2">
      <c r="A14" s="819">
        <v>6</v>
      </c>
      <c r="B14" s="22" t="s">
        <v>429</v>
      </c>
      <c r="C14" s="22" t="s">
        <v>430</v>
      </c>
      <c r="D14" s="702">
        <f>29890+7739-889+7000+45751+22934+11064+3500+9000+2700+2400+2175+5100+859+560+25038+8346+3000-3000+2740+18200+1000+11200+10500+13000+209832-6832</f>
        <v>442807</v>
      </c>
      <c r="E14" s="642">
        <f>9720+1500+3500+18119+1143+26738+29790+1000+3000+1000+2395+4191+699+4318+1194+2003+45+16770+10565+4757+3232+15+179469</f>
        <v>325163</v>
      </c>
      <c r="F14" s="642">
        <f>E14-52983+5154</f>
        <v>277334</v>
      </c>
      <c r="G14" s="642">
        <f>430040-99723+1</f>
        <v>330318</v>
      </c>
      <c r="H14" s="1488">
        <f t="shared" si="0"/>
        <v>119.10476176739959</v>
      </c>
      <c r="K14" s="466"/>
    </row>
    <row r="15" spans="1:11" s="18" customFormat="1" ht="20.25" x14ac:dyDescent="0.3">
      <c r="A15" s="818">
        <v>7</v>
      </c>
      <c r="B15" s="19" t="s">
        <v>432</v>
      </c>
      <c r="C15" s="19" t="s">
        <v>431</v>
      </c>
      <c r="D15" s="644">
        <f>SUM(D13:D14)</f>
        <v>480000</v>
      </c>
      <c r="E15" s="907">
        <f>SUM(E13:E14)</f>
        <v>415449</v>
      </c>
      <c r="F15" s="907">
        <f>SUM(F13:F14)</f>
        <v>377057</v>
      </c>
      <c r="G15" s="2366">
        <f>SUM(G13:G14)</f>
        <v>430041</v>
      </c>
      <c r="H15" s="1489">
        <f t="shared" si="0"/>
        <v>114.05198683488172</v>
      </c>
      <c r="J15" s="668"/>
      <c r="K15" s="4"/>
    </row>
    <row r="16" spans="1:11" s="18" customFormat="1" ht="20.25" x14ac:dyDescent="0.3">
      <c r="A16" s="818">
        <v>8</v>
      </c>
      <c r="B16" s="19" t="s">
        <v>732</v>
      </c>
      <c r="C16" s="19" t="s">
        <v>979</v>
      </c>
      <c r="D16" s="644"/>
      <c r="E16" s="1138"/>
      <c r="F16" s="1138"/>
      <c r="G16" s="1983">
        <v>12784</v>
      </c>
      <c r="H16" s="1490"/>
      <c r="J16" s="668"/>
      <c r="K16" s="4"/>
    </row>
    <row r="17" spans="1:10" ht="20.25" x14ac:dyDescent="0.3">
      <c r="A17" s="817">
        <v>9</v>
      </c>
      <c r="B17" s="22" t="s">
        <v>434</v>
      </c>
      <c r="C17" s="21" t="s">
        <v>433</v>
      </c>
      <c r="D17" s="643">
        <v>0</v>
      </c>
      <c r="E17" s="642">
        <f t="shared" ref="E17:F20" si="1">D17</f>
        <v>0</v>
      </c>
      <c r="F17" s="642">
        <f t="shared" si="1"/>
        <v>0</v>
      </c>
      <c r="G17" s="642"/>
      <c r="H17" s="1488"/>
    </row>
    <row r="18" spans="1:10" ht="21" thickBot="1" x14ac:dyDescent="0.35">
      <c r="A18" s="820">
        <v>10</v>
      </c>
      <c r="B18" s="331" t="s">
        <v>436</v>
      </c>
      <c r="C18" s="332" t="s">
        <v>435</v>
      </c>
      <c r="D18" s="643">
        <v>0</v>
      </c>
      <c r="E18" s="642">
        <f t="shared" si="1"/>
        <v>0</v>
      </c>
      <c r="F18" s="642">
        <f t="shared" si="1"/>
        <v>0</v>
      </c>
      <c r="G18" s="642"/>
      <c r="H18" s="1488"/>
    </row>
    <row r="19" spans="1:10" ht="21" thickBot="1" x14ac:dyDescent="0.35">
      <c r="A19" s="821">
        <v>11</v>
      </c>
      <c r="B19" s="335" t="s">
        <v>438</v>
      </c>
      <c r="C19" s="336" t="s">
        <v>437</v>
      </c>
      <c r="D19" s="645">
        <f>SUM(D15:D18)</f>
        <v>480000</v>
      </c>
      <c r="E19" s="645">
        <f>SUM(E15:E18)+E11</f>
        <v>415449</v>
      </c>
      <c r="F19" s="645">
        <f>SUM(F15:F18)+F11+F12</f>
        <v>727057</v>
      </c>
      <c r="G19" s="645">
        <f>SUM(G15:G18)+G11+G12</f>
        <v>642825</v>
      </c>
      <c r="H19" s="1491">
        <f t="shared" si="0"/>
        <v>88.414663499560561</v>
      </c>
      <c r="J19" s="465"/>
    </row>
    <row r="20" spans="1:10" ht="21" thickBot="1" x14ac:dyDescent="0.35">
      <c r="A20" s="1041">
        <v>12</v>
      </c>
      <c r="B20" s="333" t="s">
        <v>440</v>
      </c>
      <c r="C20" s="334" t="s">
        <v>439</v>
      </c>
      <c r="D20" s="646">
        <v>0</v>
      </c>
      <c r="E20" s="642">
        <f t="shared" si="1"/>
        <v>0</v>
      </c>
      <c r="F20" s="642">
        <f t="shared" si="1"/>
        <v>0</v>
      </c>
      <c r="G20" s="642"/>
      <c r="H20" s="1488"/>
    </row>
    <row r="21" spans="1:10" ht="21" thickBot="1" x14ac:dyDescent="0.35">
      <c r="A21" s="822">
        <v>13</v>
      </c>
      <c r="B21" s="823" t="s">
        <v>442</v>
      </c>
      <c r="C21" s="824" t="s">
        <v>441</v>
      </c>
      <c r="D21" s="825">
        <f>SUM(D19:D20)</f>
        <v>480000</v>
      </c>
      <c r="E21" s="825">
        <f>SUM(E19:E20)</f>
        <v>415449</v>
      </c>
      <c r="F21" s="825">
        <f>SUM(F19:F20)</f>
        <v>727057</v>
      </c>
      <c r="G21" s="825">
        <f>SUM(G19:G20)</f>
        <v>642825</v>
      </c>
      <c r="H21" s="1161">
        <f t="shared" si="0"/>
        <v>88.414663499560561</v>
      </c>
    </row>
    <row r="25" spans="1:10" ht="19.5" thickBot="1" x14ac:dyDescent="0.35">
      <c r="G25" s="263"/>
      <c r="H25" s="263" t="s">
        <v>323</v>
      </c>
    </row>
    <row r="26" spans="1:10" ht="57.75" customHeight="1" thickBot="1" x14ac:dyDescent="0.3">
      <c r="A26" s="30" t="s">
        <v>60</v>
      </c>
      <c r="B26" s="814" t="s">
        <v>364</v>
      </c>
      <c r="C26" s="815" t="s">
        <v>42</v>
      </c>
      <c r="D26" s="814" t="s">
        <v>632</v>
      </c>
      <c r="E26" s="814" t="str">
        <f>E8</f>
        <v>Önkormányzat 2017. évi eredeti előirányzat</v>
      </c>
      <c r="F26" s="814" t="str">
        <f>F8</f>
        <v>Önkormányzat 2017. évi módosított előirányzat 2017.12.31</v>
      </c>
      <c r="G26" s="814" t="str">
        <f t="shared" ref="G26:H26" si="2">G8</f>
        <v>Önkormányzat 2017. évi Teljesítés 2017.12.31</v>
      </c>
      <c r="H26" s="46" t="str">
        <f t="shared" si="2"/>
        <v>Teljesítés %-ban</v>
      </c>
    </row>
    <row r="27" spans="1:10" ht="20.25" x14ac:dyDescent="0.3">
      <c r="A27" s="826">
        <v>1</v>
      </c>
      <c r="B27" s="125" t="s">
        <v>344</v>
      </c>
      <c r="C27" s="127" t="s">
        <v>343</v>
      </c>
      <c r="D27" s="647">
        <v>1320</v>
      </c>
      <c r="E27" s="527">
        <v>1320</v>
      </c>
      <c r="F27" s="527">
        <f>E27</f>
        <v>1320</v>
      </c>
      <c r="G27" s="527">
        <v>1320</v>
      </c>
      <c r="H27" s="1160">
        <f>G27/F27%</f>
        <v>100</v>
      </c>
    </row>
    <row r="28" spans="1:10" ht="34.5" customHeight="1" x14ac:dyDescent="0.3">
      <c r="A28" s="827">
        <v>2</v>
      </c>
      <c r="B28" s="22" t="s">
        <v>342</v>
      </c>
      <c r="C28" s="17" t="s">
        <v>341</v>
      </c>
      <c r="D28" s="520">
        <v>0</v>
      </c>
      <c r="E28" s="531"/>
      <c r="F28" s="531">
        <f t="shared" ref="F28:F29" si="3">E28</f>
        <v>0</v>
      </c>
      <c r="G28" s="531"/>
      <c r="H28" s="1160"/>
    </row>
    <row r="29" spans="1:10" ht="20.25" x14ac:dyDescent="0.3">
      <c r="A29" s="827">
        <v>3</v>
      </c>
      <c r="B29" s="22" t="s">
        <v>340</v>
      </c>
      <c r="C29" s="17" t="s">
        <v>339</v>
      </c>
      <c r="D29" s="643">
        <v>0</v>
      </c>
      <c r="E29" s="527"/>
      <c r="F29" s="527">
        <f t="shared" si="3"/>
        <v>0</v>
      </c>
      <c r="G29" s="527"/>
      <c r="H29" s="1160"/>
    </row>
    <row r="30" spans="1:10" ht="20.25" x14ac:dyDescent="0.3">
      <c r="A30" s="818">
        <v>4</v>
      </c>
      <c r="B30" s="19" t="s">
        <v>312</v>
      </c>
      <c r="C30" s="20" t="s">
        <v>313</v>
      </c>
      <c r="D30" s="644">
        <f>SUM(D27:D29)</f>
        <v>1320</v>
      </c>
      <c r="E30" s="907">
        <f>SUM(E27:E29)</f>
        <v>1320</v>
      </c>
      <c r="F30" s="907">
        <f>SUM(F27:F29)</f>
        <v>1320</v>
      </c>
      <c r="G30" s="907">
        <f>SUM(G27:G29)</f>
        <v>1320</v>
      </c>
      <c r="H30" s="1160">
        <f t="shared" ref="H30:H37" si="4">G30/F30%</f>
        <v>100</v>
      </c>
    </row>
    <row r="31" spans="1:10" ht="20.25" x14ac:dyDescent="0.3">
      <c r="A31" s="818">
        <v>5</v>
      </c>
      <c r="B31" s="19" t="s">
        <v>314</v>
      </c>
      <c r="C31" s="122" t="s">
        <v>315</v>
      </c>
      <c r="D31" s="644">
        <v>0</v>
      </c>
      <c r="E31" s="527">
        <f t="shared" ref="E31" si="5">D31</f>
        <v>0</v>
      </c>
      <c r="F31" s="527">
        <f>200000+150000</f>
        <v>350000</v>
      </c>
      <c r="G31" s="527">
        <v>350000</v>
      </c>
      <c r="H31" s="1160">
        <f t="shared" si="4"/>
        <v>100</v>
      </c>
    </row>
    <row r="32" spans="1:10" ht="20.25" x14ac:dyDescent="0.3">
      <c r="A32" s="818">
        <v>6</v>
      </c>
      <c r="B32" s="19" t="s">
        <v>730</v>
      </c>
      <c r="C32" s="122" t="s">
        <v>729</v>
      </c>
      <c r="D32" s="644"/>
      <c r="E32" s="527">
        <f>19955+644</f>
        <v>20599</v>
      </c>
      <c r="F32" s="527">
        <f t="shared" ref="F32" si="6">E32</f>
        <v>20599</v>
      </c>
      <c r="G32" s="527">
        <v>19955</v>
      </c>
      <c r="H32" s="1160">
        <f t="shared" si="4"/>
        <v>96.87363464245837</v>
      </c>
    </row>
    <row r="33" spans="1:8" ht="20.25" x14ac:dyDescent="0.3">
      <c r="A33" s="818">
        <v>7</v>
      </c>
      <c r="B33" s="19" t="s">
        <v>326</v>
      </c>
      <c r="C33" s="122" t="s">
        <v>327</v>
      </c>
      <c r="D33" s="644">
        <f>'2.Kiadások_részletes '!W33</f>
        <v>779616</v>
      </c>
      <c r="E33" s="907">
        <f>'2.Kiadások_részletes '!X33</f>
        <v>930476.98200000008</v>
      </c>
      <c r="F33" s="907">
        <f>'2.Kiadások_részletes '!Y33</f>
        <v>944005.98200000008</v>
      </c>
      <c r="G33" s="2366">
        <v>853673</v>
      </c>
      <c r="H33" s="1160">
        <f t="shared" si="4"/>
        <v>90.430888816126156</v>
      </c>
    </row>
    <row r="34" spans="1:8" ht="20.25" x14ac:dyDescent="0.3">
      <c r="A34" s="818">
        <v>8</v>
      </c>
      <c r="B34" s="19" t="s">
        <v>316</v>
      </c>
      <c r="C34" s="122" t="s">
        <v>317</v>
      </c>
      <c r="D34" s="644">
        <f>SUM(D30:D33)</f>
        <v>780936</v>
      </c>
      <c r="E34" s="644">
        <f>SUM(E30:E33)</f>
        <v>952395.98200000008</v>
      </c>
      <c r="F34" s="644">
        <f>SUM(F30:F33)</f>
        <v>1315924.9820000001</v>
      </c>
      <c r="G34" s="644">
        <f>SUM(G30:G33)</f>
        <v>1224948</v>
      </c>
      <c r="H34" s="1160">
        <f t="shared" si="4"/>
        <v>93.08646136790189</v>
      </c>
    </row>
    <row r="35" spans="1:8" ht="20.25" x14ac:dyDescent="0.3">
      <c r="A35" s="818">
        <v>9</v>
      </c>
      <c r="B35" s="19" t="s">
        <v>318</v>
      </c>
      <c r="C35" s="122" t="s">
        <v>319</v>
      </c>
      <c r="D35" s="644">
        <v>0</v>
      </c>
      <c r="E35" s="647">
        <f t="shared" ref="E35:F36" si="7">D35</f>
        <v>0</v>
      </c>
      <c r="F35" s="647">
        <f t="shared" si="7"/>
        <v>0</v>
      </c>
      <c r="G35" s="647"/>
      <c r="H35" s="997"/>
    </row>
    <row r="36" spans="1:8" ht="21" thickBot="1" x14ac:dyDescent="0.35">
      <c r="A36" s="818">
        <v>10</v>
      </c>
      <c r="B36" s="123" t="s">
        <v>320</v>
      </c>
      <c r="C36" s="124" t="s">
        <v>321</v>
      </c>
      <c r="D36" s="648">
        <v>0</v>
      </c>
      <c r="E36" s="647">
        <f t="shared" si="7"/>
        <v>0</v>
      </c>
      <c r="F36" s="647">
        <f t="shared" si="7"/>
        <v>0</v>
      </c>
      <c r="G36" s="647"/>
      <c r="H36" s="997"/>
    </row>
    <row r="37" spans="1:8" ht="21" thickBot="1" x14ac:dyDescent="0.35">
      <c r="A37" s="828">
        <v>11</v>
      </c>
      <c r="B37" s="823" t="s">
        <v>322</v>
      </c>
      <c r="C37" s="824" t="s">
        <v>42</v>
      </c>
      <c r="D37" s="825">
        <f>SUM(D34:D36)</f>
        <v>780936</v>
      </c>
      <c r="E37" s="825">
        <f>SUM(E34:E36)</f>
        <v>952395.98200000008</v>
      </c>
      <c r="F37" s="825">
        <f>SUM(F34:F36)</f>
        <v>1315924.9820000001</v>
      </c>
      <c r="G37" s="825">
        <f>SUM(G34:G36)</f>
        <v>1224948</v>
      </c>
      <c r="H37" s="1161">
        <f t="shared" si="4"/>
        <v>93.08646136790189</v>
      </c>
    </row>
  </sheetData>
  <mergeCells count="3">
    <mergeCell ref="A1:H1"/>
    <mergeCell ref="A2:H2"/>
    <mergeCell ref="A4:H4"/>
  </mergeCells>
  <phoneticPr fontId="62" type="noConversion"/>
  <pageMargins left="0.7" right="0.7" top="0.75" bottom="0.75" header="0.3" footer="0.3"/>
  <pageSetup paperSize="9" scale="5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249977111117893"/>
    <pageSetUpPr fitToPage="1"/>
  </sheetPr>
  <dimension ref="A1:T49"/>
  <sheetViews>
    <sheetView view="pageBreakPreview" zoomScale="60" zoomScaleNormal="100" workbookViewId="0">
      <selection activeCell="A2" sqref="A2:O2"/>
    </sheetView>
  </sheetViews>
  <sheetFormatPr defaultRowHeight="15.75" x14ac:dyDescent="0.25"/>
  <cols>
    <col min="1" max="1" width="37.5703125" style="28" customWidth="1"/>
    <col min="2" max="2" width="12.7109375" style="49" customWidth="1"/>
    <col min="3" max="3" width="80.42578125" style="4" bestFit="1" customWidth="1"/>
    <col min="4" max="4" width="17" style="28" hidden="1" customWidth="1"/>
    <col min="5" max="5" width="21.28515625" style="28" customWidth="1"/>
    <col min="6" max="6" width="21.42578125" style="28" customWidth="1"/>
    <col min="7" max="7" width="22.140625" style="28" customWidth="1"/>
    <col min="8" max="8" width="15.5703125" style="28" customWidth="1"/>
    <col min="9" max="9" width="13" style="4" hidden="1" customWidth="1"/>
    <col min="10" max="10" width="21.140625" style="4" customWidth="1"/>
    <col min="11" max="11" width="23.7109375" style="4" customWidth="1"/>
    <col min="12" max="12" width="21.5703125" style="4" customWidth="1"/>
    <col min="13" max="13" width="14" style="4" customWidth="1"/>
    <col min="14" max="14" width="15" style="4" bestFit="1" customWidth="1"/>
    <col min="15" max="15" width="27.28515625" style="4" bestFit="1" customWidth="1"/>
    <col min="16" max="16" width="18.85546875" style="4" customWidth="1"/>
    <col min="17" max="17" width="27.85546875" style="4" bestFit="1" customWidth="1"/>
    <col min="18" max="18" width="9.5703125" style="4" bestFit="1" customWidth="1"/>
    <col min="19" max="16384" width="9.140625" style="4"/>
  </cols>
  <sheetData>
    <row r="1" spans="1:16" ht="26.25" x14ac:dyDescent="0.4">
      <c r="A1" s="2442" t="str">
        <f>Tartalomjegyzék_2017!A1</f>
        <v>Pilisvörösvár Város Önkormányzata Képviselő-testületének 7/2018. (IV. 27.) önkormányzati rendelete</v>
      </c>
      <c r="B1" s="2442"/>
      <c r="C1" s="2442"/>
      <c r="D1" s="2442"/>
      <c r="E1" s="2442"/>
      <c r="F1" s="2442"/>
      <c r="G1" s="2442"/>
      <c r="H1" s="2442"/>
      <c r="I1" s="2507"/>
      <c r="J1" s="2507"/>
      <c r="K1" s="2507"/>
      <c r="L1" s="2507"/>
      <c r="M1" s="2507"/>
      <c r="N1" s="617"/>
    </row>
    <row r="2" spans="1:16" ht="26.25" x14ac:dyDescent="0.4">
      <c r="A2" s="2442" t="str">
        <f>'15. finanszírozás be_ki (B8,K9)'!A2:E2</f>
        <v>az Önkormányzat  2017. évi zárszámadásáról</v>
      </c>
      <c r="B2" s="2442"/>
      <c r="C2" s="2442"/>
      <c r="D2" s="2442"/>
      <c r="E2" s="2442"/>
      <c r="F2" s="2442"/>
      <c r="G2" s="2442"/>
      <c r="H2" s="2442"/>
      <c r="I2" s="2507"/>
      <c r="J2" s="2507"/>
      <c r="K2" s="2507"/>
      <c r="L2" s="2507"/>
      <c r="M2" s="2507"/>
      <c r="N2" s="617"/>
    </row>
    <row r="3" spans="1:16" ht="26.25" x14ac:dyDescent="0.4">
      <c r="A3" s="2442"/>
      <c r="B3" s="2506"/>
      <c r="C3" s="2506"/>
      <c r="D3" s="2506"/>
      <c r="E3" s="2506"/>
      <c r="F3" s="1492"/>
      <c r="G3" s="1492"/>
      <c r="H3" s="1492"/>
      <c r="I3" s="1493"/>
      <c r="J3" s="1493"/>
      <c r="K3" s="1493"/>
      <c r="L3" s="1493"/>
      <c r="M3" s="1493"/>
    </row>
    <row r="4" spans="1:16" ht="26.25" x14ac:dyDescent="0.4">
      <c r="A4" s="2442" t="str">
        <f>Tartalomjegyzék_2017!B23</f>
        <v>Pilisvörösvár Város Önkormányzata és a Pilisvörösvári Polgármesteri Hivatal dologi kiadás előirányzata</v>
      </c>
      <c r="B4" s="2442"/>
      <c r="C4" s="2442"/>
      <c r="D4" s="2442"/>
      <c r="E4" s="2442"/>
      <c r="F4" s="2442"/>
      <c r="G4" s="2442"/>
      <c r="H4" s="2442"/>
      <c r="I4" s="2507"/>
      <c r="J4" s="2507"/>
      <c r="K4" s="2507"/>
      <c r="L4" s="2507"/>
      <c r="M4" s="2507"/>
      <c r="N4" s="617"/>
    </row>
    <row r="5" spans="1:16" ht="26.25" x14ac:dyDescent="0.4">
      <c r="A5" s="1316"/>
      <c r="B5" s="1316"/>
      <c r="C5" s="1316"/>
      <c r="D5" s="1316"/>
      <c r="E5" s="1316"/>
      <c r="F5" s="1316"/>
      <c r="G5" s="1316"/>
      <c r="H5" s="1316"/>
      <c r="I5" s="1494"/>
      <c r="J5" s="1493"/>
      <c r="K5" s="1493"/>
      <c r="L5" s="860"/>
      <c r="M5" s="1497" t="s">
        <v>894</v>
      </c>
      <c r="N5" s="606"/>
    </row>
    <row r="6" spans="1:16" ht="26.25" x14ac:dyDescent="0.4">
      <c r="A6" s="1316"/>
      <c r="B6" s="1492"/>
      <c r="C6" s="1492"/>
      <c r="D6" s="1492"/>
      <c r="E6" s="1492"/>
      <c r="F6" s="1492"/>
      <c r="G6" s="1492"/>
      <c r="H6" s="1492"/>
      <c r="I6" s="1493"/>
      <c r="J6" s="1493"/>
      <c r="K6" s="1493"/>
      <c r="L6" s="1453"/>
      <c r="M6" s="1453"/>
      <c r="N6" s="261"/>
      <c r="P6" s="467"/>
    </row>
    <row r="7" spans="1:16" ht="27" thickBot="1" x14ac:dyDescent="0.45">
      <c r="A7" s="1495"/>
      <c r="B7" s="1496"/>
      <c r="C7" s="1493"/>
      <c r="D7" s="1495"/>
      <c r="E7" s="1495"/>
      <c r="F7" s="1495"/>
      <c r="G7" s="1495"/>
      <c r="H7" s="1495"/>
      <c r="I7" s="1493"/>
      <c r="J7" s="1493"/>
      <c r="K7" s="1493"/>
      <c r="L7" s="1497"/>
      <c r="M7" s="1497" t="s">
        <v>323</v>
      </c>
      <c r="N7" s="261"/>
    </row>
    <row r="8" spans="1:16" s="855" customFormat="1" ht="109.5" customHeight="1" x14ac:dyDescent="0.3">
      <c r="A8" s="1498" t="s">
        <v>270</v>
      </c>
      <c r="B8" s="1499" t="s">
        <v>60</v>
      </c>
      <c r="C8" s="1500" t="s">
        <v>253</v>
      </c>
      <c r="D8" s="1501" t="s">
        <v>632</v>
      </c>
      <c r="E8" s="1457" t="str">
        <f>'15. finanszírozás be_ki (B8,K9)'!E26</f>
        <v>Önkormányzat 2017. évi eredeti előirányzat</v>
      </c>
      <c r="F8" s="1458" t="str">
        <f>'15. finanszírozás be_ki (B8,K9)'!F26</f>
        <v>Önkormányzat 2017. évi módosított előirányzat 2017.12.31</v>
      </c>
      <c r="G8" s="1458" t="str">
        <f>'15. finanszírozás be_ki (B8,K9)'!G26</f>
        <v>Önkormányzat 2017. évi Teljesítés 2017.12.31</v>
      </c>
      <c r="H8" s="1459" t="str">
        <f>'15. finanszírozás be_ki (B8,K9)'!H26</f>
        <v>Teljesítés %-ban</v>
      </c>
      <c r="I8" s="1502" t="s">
        <v>633</v>
      </c>
      <c r="J8" s="1458" t="str">
        <f>'2.Kiadások_részletes '!I8</f>
        <v>Polgármesteri Hivatal 2017. évi eredeti előirányzat</v>
      </c>
      <c r="K8" s="1458" t="str">
        <f>'2.Kiadások_részletes '!J8</f>
        <v>Polgármesteri Hivatal 2017. évi módosított előirányzat 2017.12.31.</v>
      </c>
      <c r="L8" s="1458" t="str">
        <f>'2.Kiadások_részletes '!K8</f>
        <v>Polgármesteri Hivatal  2017. évi Teljesítés 2017.12.31</v>
      </c>
      <c r="M8" s="1459" t="str">
        <f>'2.Kiadások_részletes '!L8</f>
        <v>Teljesítés %-ban</v>
      </c>
      <c r="N8" s="1503"/>
      <c r="P8" s="1504"/>
    </row>
    <row r="9" spans="1:16" ht="26.25" x14ac:dyDescent="0.25">
      <c r="A9" s="1069" t="s">
        <v>271</v>
      </c>
      <c r="B9" s="863">
        <v>1</v>
      </c>
      <c r="C9" s="1505" t="s">
        <v>272</v>
      </c>
      <c r="D9" s="1071">
        <f>'19. Dologi kiad.igazg. (K3)'!E55</f>
        <v>80180.399999999994</v>
      </c>
      <c r="E9" s="1509">
        <f>'19. Dologi kiad.igazg. (K3)'!F55</f>
        <v>52480</v>
      </c>
      <c r="F9" s="1444">
        <f>'19. Dologi kiad.igazg. (K3)'!G55</f>
        <v>44334</v>
      </c>
      <c r="G9" s="1444">
        <v>36511</v>
      </c>
      <c r="H9" s="2281">
        <f>G9/F9%</f>
        <v>82.354400685703979</v>
      </c>
      <c r="I9" s="1510">
        <f>'19. Dologi kiad.igazg. (K3)'!H55</f>
        <v>51349</v>
      </c>
      <c r="J9" s="1511">
        <f>'19. Dologi kiad.igazg. (K3)'!I55</f>
        <v>46326</v>
      </c>
      <c r="K9" s="1511">
        <f>'19. Dologi kiad.igazg. (K3)'!J55</f>
        <v>47967</v>
      </c>
      <c r="L9" s="1511">
        <v>42979</v>
      </c>
      <c r="M9" s="1397">
        <f>L9/K9%</f>
        <v>89.601184147434694</v>
      </c>
      <c r="N9" s="618"/>
    </row>
    <row r="10" spans="1:16" ht="46.5" x14ac:dyDescent="0.25">
      <c r="A10" s="1069" t="s">
        <v>273</v>
      </c>
      <c r="B10" s="863">
        <v>2</v>
      </c>
      <c r="C10" s="1505" t="s">
        <v>274</v>
      </c>
      <c r="D10" s="1071">
        <f>6100+150</f>
        <v>6250</v>
      </c>
      <c r="E10" s="1509">
        <v>8141</v>
      </c>
      <c r="F10" s="1444">
        <f>E10-30+471</f>
        <v>8582</v>
      </c>
      <c r="G10" s="1444">
        <v>8582</v>
      </c>
      <c r="H10" s="2281">
        <f t="shared" ref="H10:H44" si="0">G10/F10%</f>
        <v>100.00000000000001</v>
      </c>
      <c r="I10" s="1510"/>
      <c r="J10" s="1511"/>
      <c r="K10" s="1511">
        <f>J10</f>
        <v>0</v>
      </c>
      <c r="L10" s="1511"/>
      <c r="M10" s="774"/>
      <c r="N10" s="618"/>
    </row>
    <row r="11" spans="1:16" ht="69.75" x14ac:dyDescent="0.25">
      <c r="A11" s="1069" t="s">
        <v>275</v>
      </c>
      <c r="B11" s="863">
        <v>3</v>
      </c>
      <c r="C11" s="1505" t="s">
        <v>276</v>
      </c>
      <c r="D11" s="1071">
        <v>2500</v>
      </c>
      <c r="E11" s="1509">
        <v>3245</v>
      </c>
      <c r="F11" s="1444">
        <f>E11+4724+1276-1055+1</f>
        <v>8191</v>
      </c>
      <c r="G11" s="1444">
        <v>6562</v>
      </c>
      <c r="H11" s="2281">
        <f t="shared" si="0"/>
        <v>80.112318398241982</v>
      </c>
      <c r="I11" s="1510"/>
      <c r="J11" s="1511"/>
      <c r="K11" s="1511">
        <f t="shared" ref="K11:K31" si="1">J11</f>
        <v>0</v>
      </c>
      <c r="L11" s="1511"/>
      <c r="M11" s="774"/>
      <c r="N11" s="618"/>
      <c r="O11" s="465"/>
    </row>
    <row r="12" spans="1:16" ht="46.5" x14ac:dyDescent="0.25">
      <c r="A12" s="1069" t="s">
        <v>275</v>
      </c>
      <c r="B12" s="863">
        <v>4</v>
      </c>
      <c r="C12" s="1505" t="s">
        <v>277</v>
      </c>
      <c r="D12" s="1072">
        <f>12000+2200+100+100</f>
        <v>14400</v>
      </c>
      <c r="E12" s="1509">
        <v>14664</v>
      </c>
      <c r="F12" s="1444">
        <f>E12+849-849-50-14+849-55-15+704-40-147-215-830-224+1950+190+578-1+400+1055+1111+1000-189-51+39-709-191-460-1</f>
        <v>19348</v>
      </c>
      <c r="G12" s="1444">
        <v>18904</v>
      </c>
      <c r="H12" s="2281">
        <f t="shared" si="0"/>
        <v>97.705189166838949</v>
      </c>
      <c r="I12" s="1512"/>
      <c r="J12" s="1444"/>
      <c r="K12" s="1511">
        <f t="shared" si="1"/>
        <v>0</v>
      </c>
      <c r="L12" s="1511"/>
      <c r="M12" s="774"/>
      <c r="N12" s="619"/>
      <c r="O12" s="465"/>
    </row>
    <row r="13" spans="1:16" ht="46.5" x14ac:dyDescent="0.25">
      <c r="A13" s="1070" t="s">
        <v>1076</v>
      </c>
      <c r="B13" s="863">
        <v>5</v>
      </c>
      <c r="C13" s="1505" t="s">
        <v>1074</v>
      </c>
      <c r="D13" s="1072"/>
      <c r="E13" s="1509"/>
      <c r="F13" s="1444">
        <f>6</f>
        <v>6</v>
      </c>
      <c r="G13" s="1444">
        <v>6</v>
      </c>
      <c r="H13" s="2281">
        <f t="shared" si="0"/>
        <v>100</v>
      </c>
      <c r="I13" s="1512"/>
      <c r="J13" s="1444"/>
      <c r="K13" s="1511">
        <f>25+7</f>
        <v>32</v>
      </c>
      <c r="L13" s="1511">
        <v>32</v>
      </c>
      <c r="M13" s="1397">
        <f>L13/K13%</f>
        <v>100</v>
      </c>
      <c r="N13" s="619"/>
    </row>
    <row r="14" spans="1:16" ht="26.25" x14ac:dyDescent="0.25">
      <c r="A14" s="1070" t="s">
        <v>1078</v>
      </c>
      <c r="B14" s="863">
        <v>6</v>
      </c>
      <c r="C14" s="1505" t="s">
        <v>1079</v>
      </c>
      <c r="D14" s="1072"/>
      <c r="E14" s="1509"/>
      <c r="F14" s="1444">
        <v>112</v>
      </c>
      <c r="G14" s="1444">
        <v>112</v>
      </c>
      <c r="H14" s="2281">
        <f t="shared" si="0"/>
        <v>99.999999999999986</v>
      </c>
      <c r="I14" s="1512"/>
      <c r="J14" s="1444"/>
      <c r="K14" s="1511"/>
      <c r="L14" s="1511"/>
      <c r="M14" s="774"/>
      <c r="N14" s="619"/>
    </row>
    <row r="15" spans="1:16" ht="26.25" x14ac:dyDescent="0.25">
      <c r="A15" s="1070" t="s">
        <v>835</v>
      </c>
      <c r="B15" s="863">
        <v>7</v>
      </c>
      <c r="C15" s="1505" t="s">
        <v>834</v>
      </c>
      <c r="D15" s="1072"/>
      <c r="E15" s="1509">
        <v>1500</v>
      </c>
      <c r="F15" s="1444">
        <f>E15+124+14+75+20+325+54+1029+15646+1+2861+16712-2861+33+33+27+7+1007+769</f>
        <v>37376</v>
      </c>
      <c r="G15" s="1444">
        <v>27601</v>
      </c>
      <c r="H15" s="2281">
        <f t="shared" si="0"/>
        <v>73.846853595890408</v>
      </c>
      <c r="I15" s="1512"/>
      <c r="J15" s="1444"/>
      <c r="K15" s="1511">
        <f t="shared" si="1"/>
        <v>0</v>
      </c>
      <c r="L15" s="1511"/>
      <c r="M15" s="774"/>
      <c r="N15" s="619"/>
    </row>
    <row r="16" spans="1:16" ht="69.75" x14ac:dyDescent="0.25">
      <c r="A16" s="1069" t="s">
        <v>278</v>
      </c>
      <c r="B16" s="863">
        <v>8</v>
      </c>
      <c r="C16" s="1505" t="s">
        <v>734</v>
      </c>
      <c r="D16" s="1072">
        <v>37500</v>
      </c>
      <c r="E16" s="1509">
        <v>42218</v>
      </c>
      <c r="F16" s="1444">
        <f>E16+2154+581+5737</f>
        <v>50690</v>
      </c>
      <c r="G16" s="1444">
        <v>41615</v>
      </c>
      <c r="H16" s="2281">
        <f t="shared" si="0"/>
        <v>82.097060564213848</v>
      </c>
      <c r="I16" s="1512"/>
      <c r="J16" s="1444"/>
      <c r="K16" s="1511">
        <f t="shared" si="1"/>
        <v>0</v>
      </c>
      <c r="L16" s="1511"/>
      <c r="M16" s="774"/>
      <c r="N16" s="619"/>
    </row>
    <row r="17" spans="1:14" ht="26.25" x14ac:dyDescent="0.25">
      <c r="A17" s="1069" t="s">
        <v>279</v>
      </c>
      <c r="B17" s="863">
        <v>9</v>
      </c>
      <c r="C17" s="1505" t="s">
        <v>345</v>
      </c>
      <c r="D17" s="1072">
        <v>200</v>
      </c>
      <c r="E17" s="1509">
        <v>3100</v>
      </c>
      <c r="F17" s="1444">
        <f>E17+3+1</f>
        <v>3104</v>
      </c>
      <c r="G17" s="1444">
        <v>3104</v>
      </c>
      <c r="H17" s="2281">
        <f t="shared" si="0"/>
        <v>100</v>
      </c>
      <c r="I17" s="1512"/>
      <c r="J17" s="1444"/>
      <c r="K17" s="1511">
        <f t="shared" si="1"/>
        <v>0</v>
      </c>
      <c r="L17" s="1511"/>
      <c r="M17" s="774"/>
      <c r="N17" s="619"/>
    </row>
    <row r="18" spans="1:14" ht="26.25" x14ac:dyDescent="0.25">
      <c r="A18" s="1070" t="s">
        <v>916</v>
      </c>
      <c r="B18" s="863">
        <v>10</v>
      </c>
      <c r="C18" s="1505" t="s">
        <v>915</v>
      </c>
      <c r="D18" s="1072"/>
      <c r="E18" s="1509">
        <v>500</v>
      </c>
      <c r="F18" s="1444">
        <f>E18+160+43</f>
        <v>703</v>
      </c>
      <c r="G18" s="1444">
        <f>603+75</f>
        <v>678</v>
      </c>
      <c r="H18" s="2281">
        <f t="shared" si="0"/>
        <v>96.443812233285911</v>
      </c>
      <c r="I18" s="1512"/>
      <c r="J18" s="1444"/>
      <c r="K18" s="1511">
        <f t="shared" si="1"/>
        <v>0</v>
      </c>
      <c r="L18" s="1511"/>
      <c r="M18" s="774"/>
      <c r="N18" s="619"/>
    </row>
    <row r="19" spans="1:14" ht="26.25" x14ac:dyDescent="0.25">
      <c r="A19" s="1069" t="s">
        <v>735</v>
      </c>
      <c r="B19" s="863">
        <v>11</v>
      </c>
      <c r="C19" s="1506" t="s">
        <v>736</v>
      </c>
      <c r="D19" s="1072">
        <v>600</v>
      </c>
      <c r="E19" s="1509">
        <v>84</v>
      </c>
      <c r="F19" s="1444">
        <f t="shared" ref="F19:F31" si="2">E19</f>
        <v>84</v>
      </c>
      <c r="G19" s="1444">
        <v>84</v>
      </c>
      <c r="H19" s="2281">
        <f t="shared" si="0"/>
        <v>100</v>
      </c>
      <c r="I19" s="1512"/>
      <c r="J19" s="1444"/>
      <c r="K19" s="1511">
        <f t="shared" si="1"/>
        <v>0</v>
      </c>
      <c r="L19" s="1511"/>
      <c r="M19" s="774"/>
      <c r="N19" s="619"/>
    </row>
    <row r="20" spans="1:14" ht="26.25" x14ac:dyDescent="0.25">
      <c r="A20" s="1070" t="s">
        <v>1025</v>
      </c>
      <c r="B20" s="863">
        <v>12</v>
      </c>
      <c r="C20" s="1506" t="s">
        <v>1024</v>
      </c>
      <c r="D20" s="1072"/>
      <c r="E20" s="1509"/>
      <c r="F20" s="1444">
        <f>80+1390+6+454</f>
        <v>1930</v>
      </c>
      <c r="G20" s="1444">
        <v>1924</v>
      </c>
      <c r="H20" s="2281">
        <f t="shared" si="0"/>
        <v>99.689119170984455</v>
      </c>
      <c r="I20" s="1512"/>
      <c r="J20" s="1444"/>
      <c r="K20" s="1511"/>
      <c r="L20" s="1511"/>
      <c r="M20" s="774"/>
      <c r="N20" s="619"/>
    </row>
    <row r="21" spans="1:14" ht="26.25" x14ac:dyDescent="0.25">
      <c r="A21" s="1070" t="s">
        <v>865</v>
      </c>
      <c r="B21" s="863">
        <v>13</v>
      </c>
      <c r="C21" s="1506" t="s">
        <v>866</v>
      </c>
      <c r="D21" s="1072"/>
      <c r="E21" s="1509">
        <v>485</v>
      </c>
      <c r="F21" s="1444">
        <f t="shared" si="2"/>
        <v>485</v>
      </c>
      <c r="G21" s="1444">
        <v>483</v>
      </c>
      <c r="H21" s="2281">
        <f t="shared" si="0"/>
        <v>99.587628865979383</v>
      </c>
      <c r="I21" s="1512"/>
      <c r="J21" s="1444"/>
      <c r="K21" s="1511">
        <f t="shared" si="1"/>
        <v>0</v>
      </c>
      <c r="L21" s="1511"/>
      <c r="M21" s="774"/>
      <c r="N21" s="619"/>
    </row>
    <row r="22" spans="1:14" ht="26.25" x14ac:dyDescent="0.25">
      <c r="A22" s="1070" t="s">
        <v>857</v>
      </c>
      <c r="B22" s="863">
        <v>14</v>
      </c>
      <c r="C22" s="1430" t="s">
        <v>858</v>
      </c>
      <c r="D22" s="1072"/>
      <c r="E22" s="1509">
        <v>0</v>
      </c>
      <c r="F22" s="1444">
        <f>E22+381+75+20+431</f>
        <v>907</v>
      </c>
      <c r="G22" s="1444">
        <v>526</v>
      </c>
      <c r="H22" s="2281">
        <f t="shared" si="0"/>
        <v>57.99338478500551</v>
      </c>
      <c r="I22" s="1512"/>
      <c r="J22" s="1444"/>
      <c r="K22" s="1511">
        <f t="shared" si="1"/>
        <v>0</v>
      </c>
      <c r="L22" s="1511"/>
      <c r="M22" s="774"/>
      <c r="N22" s="619"/>
    </row>
    <row r="23" spans="1:14" ht="26.25" x14ac:dyDescent="0.25">
      <c r="A23" s="1069" t="s">
        <v>280</v>
      </c>
      <c r="B23" s="863">
        <v>15</v>
      </c>
      <c r="C23" s="1505" t="s">
        <v>281</v>
      </c>
      <c r="D23" s="1072">
        <f>18500</f>
        <v>18500</v>
      </c>
      <c r="E23" s="1509">
        <v>22754</v>
      </c>
      <c r="F23" s="1444">
        <f t="shared" si="2"/>
        <v>22754</v>
      </c>
      <c r="G23" s="1444">
        <v>19836</v>
      </c>
      <c r="H23" s="2281">
        <f t="shared" si="0"/>
        <v>87.175881163751427</v>
      </c>
      <c r="I23" s="1512"/>
      <c r="J23" s="1444"/>
      <c r="K23" s="1511">
        <f t="shared" si="1"/>
        <v>0</v>
      </c>
      <c r="L23" s="1511"/>
      <c r="M23" s="774"/>
      <c r="N23" s="619"/>
    </row>
    <row r="24" spans="1:14" ht="69.75" x14ac:dyDescent="0.25">
      <c r="A24" s="1069" t="s">
        <v>282</v>
      </c>
      <c r="B24" s="863">
        <v>16</v>
      </c>
      <c r="C24" s="1505" t="s">
        <v>283</v>
      </c>
      <c r="D24" s="1071">
        <f>400+1680+102+2000+500+500+257+561+58+1500+442</f>
        <v>8000</v>
      </c>
      <c r="E24" s="1509">
        <v>14268</v>
      </c>
      <c r="F24" s="1444">
        <f>E24-34-207-102-28-67-18-28-8+431-41-53-431</f>
        <v>13682</v>
      </c>
      <c r="G24" s="1444">
        <v>10407</v>
      </c>
      <c r="H24" s="2281">
        <f t="shared" si="0"/>
        <v>76.063441017395121</v>
      </c>
      <c r="I24" s="1510"/>
      <c r="J24" s="1511"/>
      <c r="K24" s="1511">
        <f t="shared" si="1"/>
        <v>0</v>
      </c>
      <c r="L24" s="1511"/>
      <c r="M24" s="774"/>
      <c r="N24" s="619"/>
    </row>
    <row r="25" spans="1:14" ht="162.75" x14ac:dyDescent="0.25">
      <c r="A25" s="1069" t="s">
        <v>284</v>
      </c>
      <c r="B25" s="863">
        <v>17</v>
      </c>
      <c r="C25" s="1505" t="s">
        <v>940</v>
      </c>
      <c r="D25" s="1072">
        <f>9820+372+150+100+190+960+300+135+180+30+163+100</f>
        <v>12500</v>
      </c>
      <c r="E25" s="1509">
        <v>14820</v>
      </c>
      <c r="F25" s="1444">
        <f>E25+12-40-11-412-111-6-2-148-40-10+100-6-54+1</f>
        <v>14093</v>
      </c>
      <c r="G25" s="1444">
        <v>13996</v>
      </c>
      <c r="H25" s="2281">
        <f t="shared" si="0"/>
        <v>99.311715035833387</v>
      </c>
      <c r="I25" s="1512"/>
      <c r="J25" s="1444">
        <v>770</v>
      </c>
      <c r="K25" s="1511">
        <f>J25+51</f>
        <v>821</v>
      </c>
      <c r="L25" s="1511">
        <v>422</v>
      </c>
      <c r="M25" s="1397">
        <f>L25/K25%</f>
        <v>51.400730816077946</v>
      </c>
      <c r="N25" s="618"/>
    </row>
    <row r="26" spans="1:14" ht="26.25" x14ac:dyDescent="0.25">
      <c r="A26" s="1070" t="s">
        <v>1027</v>
      </c>
      <c r="B26" s="863">
        <v>18</v>
      </c>
      <c r="C26" s="1505" t="s">
        <v>1077</v>
      </c>
      <c r="D26" s="1072"/>
      <c r="E26" s="1509"/>
      <c r="F26" s="1444">
        <f>500+7+71+2+19+303+81+3+1+32+100+303+82+50+14-1</f>
        <v>1567</v>
      </c>
      <c r="G26" s="1444">
        <v>1567</v>
      </c>
      <c r="H26" s="2281">
        <f t="shared" si="0"/>
        <v>100</v>
      </c>
      <c r="I26" s="1512"/>
      <c r="J26" s="1444"/>
      <c r="K26" s="1511"/>
      <c r="L26" s="1511"/>
      <c r="M26" s="774"/>
      <c r="N26" s="618"/>
    </row>
    <row r="27" spans="1:14" ht="26.25" x14ac:dyDescent="0.25">
      <c r="A27" s="1069" t="s">
        <v>873</v>
      </c>
      <c r="B27" s="863">
        <v>19</v>
      </c>
      <c r="C27" s="1505" t="s">
        <v>872</v>
      </c>
      <c r="D27" s="1072"/>
      <c r="E27" s="1509"/>
      <c r="F27" s="1444">
        <f>E27+4804+13+29+17+1+62+1+211+8+2+1</f>
        <v>5149</v>
      </c>
      <c r="G27" s="1444">
        <v>5149</v>
      </c>
      <c r="H27" s="2281">
        <f t="shared" si="0"/>
        <v>100</v>
      </c>
      <c r="I27" s="1512"/>
      <c r="J27" s="1444"/>
      <c r="K27" s="1511">
        <f t="shared" si="1"/>
        <v>0</v>
      </c>
      <c r="L27" s="1511"/>
      <c r="M27" s="774"/>
      <c r="N27" s="619"/>
    </row>
    <row r="28" spans="1:14" ht="26.25" x14ac:dyDescent="0.35">
      <c r="A28" s="1070" t="s">
        <v>1030</v>
      </c>
      <c r="B28" s="863">
        <v>20</v>
      </c>
      <c r="C28" s="1507" t="s">
        <v>1031</v>
      </c>
      <c r="D28" s="1072"/>
      <c r="E28" s="1509"/>
      <c r="F28" s="1444">
        <f>70+19+1+2+1-1</f>
        <v>92</v>
      </c>
      <c r="G28" s="1444">
        <v>92</v>
      </c>
      <c r="H28" s="2281">
        <f t="shared" si="0"/>
        <v>100</v>
      </c>
      <c r="I28" s="1512"/>
      <c r="J28" s="1444"/>
      <c r="K28" s="1511"/>
      <c r="L28" s="1511"/>
      <c r="M28" s="774"/>
      <c r="N28" s="619"/>
    </row>
    <row r="29" spans="1:14" ht="46.5" x14ac:dyDescent="0.25">
      <c r="A29" s="1070" t="s">
        <v>285</v>
      </c>
      <c r="B29" s="863">
        <v>21</v>
      </c>
      <c r="C29" s="1505" t="s">
        <v>941</v>
      </c>
      <c r="D29" s="1072">
        <v>3000</v>
      </c>
      <c r="E29" s="1509">
        <v>3125</v>
      </c>
      <c r="F29" s="1444">
        <f>E29-66-17+2000-22+152+3+77-301-429+1</f>
        <v>4523</v>
      </c>
      <c r="G29" s="1444">
        <v>2241</v>
      </c>
      <c r="H29" s="2281">
        <f t="shared" si="0"/>
        <v>49.546760999336726</v>
      </c>
      <c r="I29" s="1512"/>
      <c r="J29" s="1444"/>
      <c r="K29" s="1511">
        <f t="shared" si="1"/>
        <v>0</v>
      </c>
      <c r="L29" s="1511"/>
      <c r="M29" s="774"/>
      <c r="N29" s="619"/>
    </row>
    <row r="30" spans="1:14" ht="26.25" x14ac:dyDescent="0.25">
      <c r="A30" s="1070" t="s">
        <v>863</v>
      </c>
      <c r="B30" s="863">
        <v>22</v>
      </c>
      <c r="C30" s="1505" t="s">
        <v>864</v>
      </c>
      <c r="D30" s="1072"/>
      <c r="E30" s="1509"/>
      <c r="F30" s="1444">
        <f t="shared" si="2"/>
        <v>0</v>
      </c>
      <c r="G30" s="1444">
        <v>0</v>
      </c>
      <c r="H30" s="2281"/>
      <c r="I30" s="1512"/>
      <c r="J30" s="1444"/>
      <c r="K30" s="1511">
        <f t="shared" si="1"/>
        <v>0</v>
      </c>
      <c r="L30" s="1511"/>
      <c r="M30" s="774"/>
      <c r="N30" s="619"/>
    </row>
    <row r="31" spans="1:14" ht="116.25" x14ac:dyDescent="0.25">
      <c r="A31" s="1070" t="s">
        <v>867</v>
      </c>
      <c r="B31" s="863">
        <v>23</v>
      </c>
      <c r="C31" s="1505" t="s">
        <v>868</v>
      </c>
      <c r="D31" s="1072"/>
      <c r="E31" s="1509"/>
      <c r="F31" s="1444">
        <f t="shared" si="2"/>
        <v>0</v>
      </c>
      <c r="G31" s="1444">
        <v>0</v>
      </c>
      <c r="H31" s="2281"/>
      <c r="I31" s="1512"/>
      <c r="J31" s="1444"/>
      <c r="K31" s="1511">
        <f t="shared" si="1"/>
        <v>0</v>
      </c>
      <c r="L31" s="1511"/>
      <c r="M31" s="774"/>
      <c r="N31" s="619"/>
    </row>
    <row r="32" spans="1:14" ht="26.25" x14ac:dyDescent="0.25">
      <c r="A32" s="1070" t="s">
        <v>925</v>
      </c>
      <c r="B32" s="863">
        <v>24</v>
      </c>
      <c r="C32" s="1505" t="s">
        <v>926</v>
      </c>
      <c r="D32" s="1072">
        <v>0</v>
      </c>
      <c r="E32" s="1509">
        <v>0</v>
      </c>
      <c r="F32" s="1444">
        <v>100</v>
      </c>
      <c r="G32" s="1444">
        <v>100</v>
      </c>
      <c r="H32" s="2281">
        <f t="shared" si="0"/>
        <v>100</v>
      </c>
      <c r="I32" s="1512">
        <v>0</v>
      </c>
      <c r="J32" s="1444">
        <v>7416</v>
      </c>
      <c r="K32" s="1511">
        <f>J32+9+2+1445+112+458-1436</f>
        <v>8006</v>
      </c>
      <c r="L32" s="1511">
        <v>8003</v>
      </c>
      <c r="M32" s="1397">
        <f>L32/K32%</f>
        <v>99.962528103922054</v>
      </c>
      <c r="N32" s="619"/>
    </row>
    <row r="33" spans="1:20" ht="26.25" x14ac:dyDescent="0.25">
      <c r="A33" s="1070" t="s">
        <v>863</v>
      </c>
      <c r="B33" s="863">
        <v>25</v>
      </c>
      <c r="C33" s="1505" t="s">
        <v>864</v>
      </c>
      <c r="D33" s="1072"/>
      <c r="E33" s="1509"/>
      <c r="F33" s="1444">
        <f>315+21+45+91+167+45+215+20+1</f>
        <v>920</v>
      </c>
      <c r="G33" s="1444">
        <v>920</v>
      </c>
      <c r="H33" s="2281">
        <f t="shared" si="0"/>
        <v>100.00000000000001</v>
      </c>
      <c r="I33" s="1512"/>
      <c r="J33" s="1444"/>
      <c r="K33" s="1511"/>
      <c r="L33" s="1511"/>
      <c r="M33" s="774"/>
      <c r="N33" s="619"/>
      <c r="O33" s="619"/>
      <c r="P33" s="619"/>
      <c r="Q33" s="48"/>
      <c r="R33" s="48"/>
      <c r="S33" s="48"/>
      <c r="T33" s="48"/>
    </row>
    <row r="34" spans="1:20" ht="26.25" x14ac:dyDescent="0.25">
      <c r="A34" s="1069" t="s">
        <v>704</v>
      </c>
      <c r="B34" s="863">
        <v>26</v>
      </c>
      <c r="C34" s="1505" t="s">
        <v>913</v>
      </c>
      <c r="D34" s="1072">
        <f>2531+(20496645+16021395+6673120*1.27+5196114*1.27)/1000</f>
        <v>54122.96718</v>
      </c>
      <c r="E34" s="1513">
        <v>863</v>
      </c>
      <c r="F34" s="1444">
        <f>E34+39+7+6+1+435+23+2+8+3+2+10+16+1+22-83+73+41</f>
        <v>1469</v>
      </c>
      <c r="G34" s="1444">
        <v>1469</v>
      </c>
      <c r="H34" s="2281">
        <f t="shared" si="0"/>
        <v>100</v>
      </c>
      <c r="I34" s="1512"/>
      <c r="J34" s="1444">
        <f>24842+24697+1516</f>
        <v>51055</v>
      </c>
      <c r="K34" s="1511">
        <f>J34-2-1-1424-74-140-15-37-88+51</f>
        <v>49325</v>
      </c>
      <c r="L34" s="1511">
        <v>34335</v>
      </c>
      <c r="M34" s="1397">
        <f>L34/K34%</f>
        <v>69.609731373542829</v>
      </c>
      <c r="N34" s="626"/>
      <c r="O34" s="90"/>
      <c r="P34" s="2367"/>
      <c r="Q34" s="48"/>
      <c r="R34" s="48"/>
      <c r="S34" s="48"/>
      <c r="T34" s="48"/>
    </row>
    <row r="35" spans="1:20" ht="26.25" x14ac:dyDescent="0.25">
      <c r="A35" s="1069" t="s">
        <v>704</v>
      </c>
      <c r="B35" s="863">
        <v>27</v>
      </c>
      <c r="C35" s="1505" t="s">
        <v>914</v>
      </c>
      <c r="D35" s="1072">
        <f>3986+(11904000+19284480+4618768*1.27+7482404*1.27)/1000</f>
        <v>50542.968439999997</v>
      </c>
      <c r="E35" s="1513">
        <v>806</v>
      </c>
      <c r="F35" s="1444">
        <f>E35+56+18+31+444+17+1-3+10+15+3+1+16+22-81+94</f>
        <v>1450</v>
      </c>
      <c r="G35" s="1444">
        <v>1450</v>
      </c>
      <c r="H35" s="2281">
        <f t="shared" si="0"/>
        <v>100</v>
      </c>
      <c r="I35" s="1512"/>
      <c r="J35" s="1444">
        <f>21446+28623+471+4713</f>
        <v>55253</v>
      </c>
      <c r="K35" s="1511">
        <f>J35-2-1+1-1424-300-5500-1485-26-56-14740+36+1</f>
        <v>31757</v>
      </c>
      <c r="L35" s="1511">
        <v>23562</v>
      </c>
      <c r="M35" s="1397">
        <f>L35/K35%</f>
        <v>74.194665742985805</v>
      </c>
      <c r="N35" s="626"/>
      <c r="O35" s="90"/>
      <c r="P35" s="2367"/>
      <c r="Q35" s="48"/>
      <c r="R35" s="2368"/>
      <c r="S35" s="48"/>
      <c r="T35" s="48"/>
    </row>
    <row r="36" spans="1:20" ht="46.5" x14ac:dyDescent="0.25">
      <c r="A36" s="1070" t="s">
        <v>1021</v>
      </c>
      <c r="B36" s="863">
        <v>28</v>
      </c>
      <c r="C36" s="1505" t="s">
        <v>1022</v>
      </c>
      <c r="D36" s="1072"/>
      <c r="E36" s="1513"/>
      <c r="F36" s="1444">
        <f>50+14+564+81+40+147+2+213-1111</f>
        <v>0</v>
      </c>
      <c r="G36" s="1444">
        <v>0</v>
      </c>
      <c r="H36" s="2281"/>
      <c r="I36" s="1512"/>
      <c r="J36" s="1444"/>
      <c r="K36" s="1511"/>
      <c r="L36" s="1511"/>
      <c r="M36" s="774"/>
      <c r="N36" s="626"/>
      <c r="O36" s="90"/>
      <c r="P36" s="2367"/>
      <c r="Q36" s="48"/>
      <c r="R36" s="2368"/>
      <c r="S36" s="48"/>
      <c r="T36" s="48"/>
    </row>
    <row r="37" spans="1:20" ht="26.25" x14ac:dyDescent="0.25">
      <c r="A37" s="1069">
        <v>104031</v>
      </c>
      <c r="B37" s="863">
        <v>29</v>
      </c>
      <c r="C37" s="1505" t="s">
        <v>1017</v>
      </c>
      <c r="D37" s="1072"/>
      <c r="E37" s="1513"/>
      <c r="F37" s="1444">
        <f>4+1+14+41+4+11-4-1+4+1+5+2</f>
        <v>82</v>
      </c>
      <c r="G37" s="1444">
        <v>82</v>
      </c>
      <c r="H37" s="2281">
        <f t="shared" si="0"/>
        <v>100</v>
      </c>
      <c r="I37" s="1512"/>
      <c r="J37" s="1444"/>
      <c r="K37" s="1511"/>
      <c r="L37" s="1511"/>
      <c r="M37" s="774"/>
      <c r="N37" s="626"/>
      <c r="O37" s="90"/>
      <c r="P37" s="2367"/>
      <c r="Q37" s="48"/>
      <c r="R37" s="2368"/>
      <c r="S37" s="48"/>
      <c r="T37" s="48"/>
    </row>
    <row r="38" spans="1:20" ht="26.25" x14ac:dyDescent="0.25">
      <c r="A38" s="1069">
        <v>104035</v>
      </c>
      <c r="B38" s="863">
        <v>30</v>
      </c>
      <c r="C38" s="1430" t="s">
        <v>952</v>
      </c>
      <c r="D38" s="1072">
        <f>22493+1058+(323314*1.27/1000)</f>
        <v>23961.608779999999</v>
      </c>
      <c r="E38" s="1513">
        <v>382</v>
      </c>
      <c r="F38" s="1444">
        <f>E38-2-1-1+16-1-1-1-330-2-2-1-1-5+1</f>
        <v>51</v>
      </c>
      <c r="G38" s="1444">
        <v>51</v>
      </c>
      <c r="H38" s="2281">
        <f t="shared" si="0"/>
        <v>100</v>
      </c>
      <c r="I38" s="1512"/>
      <c r="J38" s="1444">
        <f>1466+22</f>
        <v>1488</v>
      </c>
      <c r="K38" s="1511">
        <f>J38-1+3+140+2</f>
        <v>1632</v>
      </c>
      <c r="L38" s="1511">
        <v>1631</v>
      </c>
      <c r="M38" s="1397">
        <f>L38/K38%</f>
        <v>99.938725490196077</v>
      </c>
      <c r="O38" s="48"/>
      <c r="P38" s="2367"/>
      <c r="Q38" s="48"/>
      <c r="R38" s="2368"/>
      <c r="S38" s="48"/>
      <c r="T38" s="48"/>
    </row>
    <row r="39" spans="1:20" ht="26.25" x14ac:dyDescent="0.25">
      <c r="A39" s="1069">
        <v>107051</v>
      </c>
      <c r="B39" s="863">
        <v>31</v>
      </c>
      <c r="C39" s="1505" t="s">
        <v>677</v>
      </c>
      <c r="D39" s="1072">
        <f>1279+2466</f>
        <v>3745</v>
      </c>
      <c r="E39" s="1513">
        <v>60</v>
      </c>
      <c r="F39" s="1444">
        <f>E39-6-3-1+2-2-1-5+116+1</f>
        <v>161</v>
      </c>
      <c r="G39" s="1444">
        <v>161</v>
      </c>
      <c r="H39" s="2281">
        <f t="shared" si="0"/>
        <v>100</v>
      </c>
      <c r="I39" s="1512"/>
      <c r="J39" s="1444">
        <f>4739+1313</f>
        <v>6052</v>
      </c>
      <c r="K39" s="1511">
        <f>J39+14+63+1</f>
        <v>6130</v>
      </c>
      <c r="L39" s="1511">
        <v>6126</v>
      </c>
      <c r="M39" s="1397">
        <f t="shared" ref="M39:M44" si="3">L39/K39%</f>
        <v>99.9347471451876</v>
      </c>
      <c r="N39" s="619"/>
      <c r="O39" s="48"/>
      <c r="P39" s="2367"/>
      <c r="Q39" s="48"/>
      <c r="R39" s="2368"/>
      <c r="S39" s="48"/>
      <c r="T39" s="48"/>
    </row>
    <row r="40" spans="1:20" ht="26.25" x14ac:dyDescent="0.25">
      <c r="A40" s="1069" t="s">
        <v>842</v>
      </c>
      <c r="B40" s="863">
        <v>32</v>
      </c>
      <c r="C40" s="1505" t="s">
        <v>747</v>
      </c>
      <c r="D40" s="1072">
        <f>933+1800</f>
        <v>2733</v>
      </c>
      <c r="E40" s="1513">
        <v>44</v>
      </c>
      <c r="F40" s="1444">
        <f>E40+5+3-3+1+80+2-2</f>
        <v>130</v>
      </c>
      <c r="G40" s="1444">
        <v>130</v>
      </c>
      <c r="H40" s="2281">
        <f t="shared" si="0"/>
        <v>100</v>
      </c>
      <c r="I40" s="1512"/>
      <c r="J40" s="1444">
        <f>3741+1037</f>
        <v>4778</v>
      </c>
      <c r="K40" s="1511">
        <f>J40-169+8+30-38</f>
        <v>4609</v>
      </c>
      <c r="L40" s="1511">
        <v>3932</v>
      </c>
      <c r="M40" s="1397">
        <f t="shared" si="3"/>
        <v>85.311347363853329</v>
      </c>
      <c r="N40" s="619"/>
      <c r="O40" s="90"/>
      <c r="P40" s="2367"/>
      <c r="Q40" s="48"/>
      <c r="R40" s="48"/>
      <c r="S40" s="48"/>
      <c r="T40" s="48"/>
    </row>
    <row r="41" spans="1:20" ht="26.25" x14ac:dyDescent="0.25">
      <c r="A41" s="1069" t="s">
        <v>843</v>
      </c>
      <c r="B41" s="863">
        <v>33</v>
      </c>
      <c r="C41" s="1505" t="s">
        <v>737</v>
      </c>
      <c r="D41" s="1072">
        <f>1065+2053</f>
        <v>3118</v>
      </c>
      <c r="E41" s="1513">
        <v>50</v>
      </c>
      <c r="F41" s="1444">
        <f>E41-2-3-3+69+1+600+162+100+2+1+6+2-2-3-6+1</f>
        <v>975</v>
      </c>
      <c r="G41" s="1444">
        <v>975</v>
      </c>
      <c r="H41" s="2281">
        <f t="shared" si="0"/>
        <v>100</v>
      </c>
      <c r="I41" s="1512"/>
      <c r="J41" s="1444">
        <f>3851+1065</f>
        <v>4916</v>
      </c>
      <c r="K41" s="1511">
        <f>J41+7+155-163+1</f>
        <v>4916</v>
      </c>
      <c r="L41" s="1511">
        <v>3311</v>
      </c>
      <c r="M41" s="1397">
        <f t="shared" si="3"/>
        <v>67.351505288852735</v>
      </c>
      <c r="N41" s="619"/>
      <c r="O41" s="90"/>
      <c r="P41" s="2367"/>
      <c r="Q41" s="48"/>
      <c r="R41" s="48"/>
      <c r="S41" s="48"/>
      <c r="T41" s="48"/>
    </row>
    <row r="42" spans="1:20" ht="26.25" x14ac:dyDescent="0.25">
      <c r="A42" s="1069">
        <v>101221</v>
      </c>
      <c r="B42" s="863">
        <v>34</v>
      </c>
      <c r="C42" s="1505" t="s">
        <v>746</v>
      </c>
      <c r="D42" s="1072">
        <f>173+333</f>
        <v>506</v>
      </c>
      <c r="E42" s="1513">
        <v>6</v>
      </c>
      <c r="F42" s="1444">
        <f>E42+2+1+1-1+17+1</f>
        <v>27</v>
      </c>
      <c r="G42" s="1444">
        <v>27</v>
      </c>
      <c r="H42" s="2281">
        <f t="shared" si="0"/>
        <v>100</v>
      </c>
      <c r="I42" s="1512"/>
      <c r="J42" s="1444">
        <f>624+173</f>
        <v>797</v>
      </c>
      <c r="K42" s="1511">
        <f>J42+169+2+1-10+203-147-1</f>
        <v>1014</v>
      </c>
      <c r="L42" s="1511">
        <v>1014</v>
      </c>
      <c r="M42" s="1397">
        <f t="shared" si="3"/>
        <v>100</v>
      </c>
      <c r="N42" s="698"/>
      <c r="O42" s="90"/>
      <c r="P42" s="2367"/>
      <c r="Q42" s="48"/>
      <c r="R42" s="48"/>
      <c r="S42" s="48"/>
      <c r="T42" s="48"/>
    </row>
    <row r="43" spans="1:20" ht="70.5" thickBot="1" x14ac:dyDescent="0.3">
      <c r="A43" s="1073" t="s">
        <v>1509</v>
      </c>
      <c r="B43" s="1074">
        <v>35</v>
      </c>
      <c r="C43" s="1508" t="s">
        <v>1510</v>
      </c>
      <c r="D43" s="1075">
        <f>2650+722+17940+9780</f>
        <v>31092</v>
      </c>
      <c r="E43" s="1514">
        <f>(1648+529)*1.004</f>
        <v>2185.7080000000001</v>
      </c>
      <c r="F43" s="1515">
        <f>E43+23-18+5-10+3+664+15+4+1+3-11+1+148+288+4+59-4-3-10+79+9+6+19+90+1+282+108-3-1-13+1</f>
        <v>3925.7080000000001</v>
      </c>
      <c r="G43" s="1515">
        <f>2623+1304</f>
        <v>3927</v>
      </c>
      <c r="H43" s="2282">
        <f t="shared" si="0"/>
        <v>100.03291126084773</v>
      </c>
      <c r="I43" s="1516"/>
      <c r="J43" s="1515">
        <f>(22303+10036)*1.004</f>
        <v>32468.356</v>
      </c>
      <c r="K43" s="1515">
        <f>J43-1+39+10+300-7+13207+1</f>
        <v>46017.356</v>
      </c>
      <c r="L43" s="1515">
        <f>3351+40761</f>
        <v>44112</v>
      </c>
      <c r="M43" s="1397">
        <f t="shared" si="3"/>
        <v>95.859483973829356</v>
      </c>
      <c r="N43" s="619"/>
      <c r="O43" s="2369"/>
      <c r="P43" s="2367"/>
      <c r="Q43" s="48"/>
      <c r="R43" s="48"/>
      <c r="S43" s="48"/>
      <c r="T43" s="48"/>
    </row>
    <row r="44" spans="1:20" s="1493" customFormat="1" ht="27" thickBot="1" x14ac:dyDescent="0.45">
      <c r="A44" s="1520" t="s">
        <v>286</v>
      </c>
      <c r="B44" s="1521"/>
      <c r="C44" s="1522"/>
      <c r="D44" s="1523">
        <f t="shared" ref="D44:L44" si="4">SUM(D9:D43)</f>
        <v>353451.94440000004</v>
      </c>
      <c r="E44" s="1517">
        <f t="shared" si="4"/>
        <v>185780.70800000001</v>
      </c>
      <c r="F44" s="1518">
        <f>SUM(F9:F43)</f>
        <v>247002.70800000001</v>
      </c>
      <c r="G44" s="1518">
        <f>SUM(G9:G43)</f>
        <v>209272</v>
      </c>
      <c r="H44" s="1525">
        <f t="shared" si="0"/>
        <v>84.724577189655747</v>
      </c>
      <c r="I44" s="1519">
        <f t="shared" si="4"/>
        <v>51349</v>
      </c>
      <c r="J44" s="1518">
        <f t="shared" si="4"/>
        <v>211319.356</v>
      </c>
      <c r="K44" s="1518">
        <f t="shared" si="4"/>
        <v>202226.356</v>
      </c>
      <c r="L44" s="1518">
        <f t="shared" si="4"/>
        <v>169459</v>
      </c>
      <c r="M44" s="1525">
        <f t="shared" si="3"/>
        <v>83.796693641653704</v>
      </c>
      <c r="N44" s="1524"/>
      <c r="O44" s="2370"/>
      <c r="P44" s="2370"/>
      <c r="Q44" s="2370"/>
      <c r="R44" s="2370"/>
      <c r="S44" s="2370"/>
      <c r="T44" s="2370"/>
    </row>
    <row r="45" spans="1:20" ht="20.25" x14ac:dyDescent="0.25">
      <c r="N45" s="620"/>
      <c r="O45" s="48"/>
      <c r="P45" s="48"/>
      <c r="Q45" s="48"/>
      <c r="R45" s="48"/>
      <c r="S45" s="48"/>
      <c r="T45" s="48"/>
    </row>
    <row r="46" spans="1:20" x14ac:dyDescent="0.25">
      <c r="O46" s="48"/>
      <c r="P46" s="48"/>
      <c r="Q46" s="48"/>
      <c r="R46" s="48"/>
      <c r="S46" s="48"/>
      <c r="T46" s="48"/>
    </row>
    <row r="47" spans="1:20" x14ac:dyDescent="0.25">
      <c r="E47" s="958"/>
      <c r="F47" s="958"/>
      <c r="G47" s="958"/>
      <c r="H47" s="958"/>
      <c r="I47" s="958"/>
      <c r="J47" s="958"/>
      <c r="K47" s="958"/>
      <c r="L47" s="958"/>
      <c r="M47" s="958"/>
    </row>
    <row r="48" spans="1:20" x14ac:dyDescent="0.25">
      <c r="G48" s="958"/>
      <c r="L48" s="465"/>
    </row>
    <row r="49" spans="12:12" x14ac:dyDescent="0.25">
      <c r="L49" s="465"/>
    </row>
  </sheetData>
  <mergeCells count="4">
    <mergeCell ref="A3:E3"/>
    <mergeCell ref="A1:M1"/>
    <mergeCell ref="A2:M2"/>
    <mergeCell ref="A4:M4"/>
  </mergeCells>
  <pageMargins left="0.19" right="0.12" top="1" bottom="1" header="0.5" footer="0.5"/>
  <pageSetup paperSize="9" scale="38" orientation="portrait" r:id="rId1"/>
  <headerFooter alignWithMargins="0"/>
  <rowBreaks count="1" manualBreakCount="1">
    <brk id="41" max="12" man="1"/>
  </rowBreaks>
  <colBreaks count="1" manualBreakCount="1">
    <brk id="3" max="4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tabColor theme="3" tint="0.39997558519241921"/>
    <pageSetUpPr fitToPage="1"/>
  </sheetPr>
  <dimension ref="A1:V42"/>
  <sheetViews>
    <sheetView view="pageBreakPreview" zoomScale="60" workbookViewId="0">
      <selection activeCell="A2" sqref="A2:E2"/>
    </sheetView>
  </sheetViews>
  <sheetFormatPr defaultRowHeight="18.75" x14ac:dyDescent="0.3"/>
  <cols>
    <col min="1" max="1" width="75.42578125" style="254" customWidth="1"/>
    <col min="2" max="2" width="18.42578125" style="254" hidden="1" customWidth="1"/>
    <col min="3" max="3" width="22" style="254" customWidth="1"/>
    <col min="4" max="5" width="21.7109375" style="254" customWidth="1"/>
    <col min="6" max="6" width="17.5703125" style="254" bestFit="1" customWidth="1"/>
    <col min="7" max="7" width="21.85546875" style="254" hidden="1" customWidth="1"/>
    <col min="8" max="8" width="24.28515625" style="254" customWidth="1"/>
    <col min="9" max="9" width="29.7109375" style="254" customWidth="1"/>
    <col min="10" max="10" width="25.42578125" style="254" customWidth="1"/>
    <col min="11" max="11" width="17.5703125" style="254" bestFit="1" customWidth="1"/>
    <col min="12" max="12" width="69.42578125" style="254" customWidth="1"/>
    <col min="13" max="13" width="17.42578125" style="254" hidden="1" customWidth="1"/>
    <col min="14" max="14" width="22" style="254" customWidth="1"/>
    <col min="15" max="17" width="22.42578125" style="254" customWidth="1"/>
    <col min="18" max="18" width="12.85546875" style="254" hidden="1" customWidth="1"/>
    <col min="19" max="19" width="24.140625" style="254" customWidth="1"/>
    <col min="20" max="20" width="25.85546875" style="254" customWidth="1"/>
    <col min="21" max="21" width="23" style="254" customWidth="1"/>
    <col min="22" max="22" width="23.7109375" style="254" bestFit="1" customWidth="1"/>
    <col min="23" max="16384" width="9.140625" style="254"/>
  </cols>
  <sheetData>
    <row r="1" spans="1:22" s="294" customFormat="1" ht="31.5" x14ac:dyDescent="0.5">
      <c r="A1" s="2402" t="str">
        <f>Tartalomjegyzék_2017!A1</f>
        <v>Pilisvörösvár Város Önkormányzata Képviselő-testületének 7/2018. (IV. 27.) önkormányzati rendelete</v>
      </c>
      <c r="B1" s="2402"/>
      <c r="C1" s="2402"/>
      <c r="D1" s="2402"/>
      <c r="E1" s="2402"/>
      <c r="F1" s="2402"/>
      <c r="G1" s="2402"/>
      <c r="H1" s="2402"/>
      <c r="I1" s="2402"/>
      <c r="J1" s="2402"/>
      <c r="K1" s="2402"/>
      <c r="L1" s="2402"/>
      <c r="M1" s="2403"/>
      <c r="N1" s="2403"/>
      <c r="O1" s="2403"/>
      <c r="P1" s="2403"/>
      <c r="Q1" s="2403"/>
      <c r="R1" s="2403"/>
      <c r="S1" s="2403"/>
      <c r="T1" s="2403"/>
      <c r="U1" s="2403"/>
      <c r="V1" s="2403"/>
    </row>
    <row r="2" spans="1:22" s="294" customFormat="1" ht="26.25" customHeight="1" x14ac:dyDescent="0.5">
      <c r="A2" s="2402" t="str">
        <f>Tartalomjegyzék_2017!A2</f>
        <v>az Önkormányzat  2017. évi zárszámadásáról</v>
      </c>
      <c r="B2" s="2402"/>
      <c r="C2" s="2402"/>
      <c r="D2" s="2402"/>
      <c r="E2" s="2402"/>
      <c r="F2" s="2402"/>
      <c r="G2" s="2402"/>
      <c r="H2" s="2402"/>
      <c r="I2" s="2402"/>
      <c r="J2" s="2402"/>
      <c r="K2" s="2402"/>
      <c r="L2" s="2402"/>
      <c r="M2" s="2403"/>
      <c r="N2" s="2403"/>
      <c r="O2" s="2403"/>
      <c r="P2" s="2403"/>
      <c r="Q2" s="2403"/>
      <c r="R2" s="2403"/>
      <c r="S2" s="2403"/>
      <c r="T2" s="2403"/>
      <c r="U2" s="2403"/>
      <c r="V2" s="2403"/>
    </row>
    <row r="3" spans="1:22" s="294" customFormat="1" ht="26.25" customHeight="1" x14ac:dyDescent="0.5">
      <c r="A3" s="2402" t="str">
        <f>Tartalomjegyzék_2017!B7</f>
        <v>Pilisvörösvár Város Önkormányzat működési, felhalmozási célú bevételi és kiadási előirányzatok bemutatása</v>
      </c>
      <c r="B3" s="2402"/>
      <c r="C3" s="2402"/>
      <c r="D3" s="2402"/>
      <c r="E3" s="2402"/>
      <c r="F3" s="2402"/>
      <c r="G3" s="2402"/>
      <c r="H3" s="2402"/>
      <c r="I3" s="2402"/>
      <c r="J3" s="2402"/>
      <c r="K3" s="2402"/>
      <c r="L3" s="2402"/>
      <c r="M3" s="2403"/>
      <c r="N3" s="2403"/>
      <c r="O3" s="2403"/>
      <c r="P3" s="2403"/>
      <c r="Q3" s="2403"/>
      <c r="R3" s="2403"/>
      <c r="S3" s="2403"/>
      <c r="T3" s="2403"/>
      <c r="U3" s="2403"/>
      <c r="V3" s="2403"/>
    </row>
    <row r="4" spans="1:22" s="294" customFormat="1" ht="30" customHeight="1" x14ac:dyDescent="0.5">
      <c r="A4" s="1700"/>
      <c r="B4" s="1700"/>
      <c r="C4" s="1700"/>
      <c r="D4" s="1700"/>
      <c r="E4" s="1700"/>
      <c r="F4" s="1700"/>
      <c r="G4" s="1700"/>
      <c r="H4" s="1700"/>
      <c r="I4" s="1700"/>
      <c r="J4" s="1700"/>
      <c r="K4" s="1700"/>
      <c r="L4" s="1700"/>
      <c r="M4" s="1701"/>
      <c r="N4" s="1701"/>
      <c r="O4" s="1701"/>
      <c r="P4" s="1701"/>
      <c r="Q4" s="1701"/>
      <c r="R4" s="1701"/>
      <c r="S4" s="1702"/>
      <c r="T4" s="1702"/>
      <c r="U4" s="1703"/>
      <c r="V4" s="1703" t="s">
        <v>357</v>
      </c>
    </row>
    <row r="5" spans="1:22" ht="24.75" customHeight="1" thickBot="1" x14ac:dyDescent="0.5">
      <c r="A5" s="1704"/>
      <c r="B5" s="1704"/>
      <c r="C5" s="1704"/>
      <c r="D5" s="1704"/>
      <c r="E5" s="1704"/>
      <c r="F5" s="1704"/>
      <c r="G5" s="1704"/>
      <c r="H5" s="1704"/>
      <c r="I5" s="1704"/>
      <c r="J5" s="1704"/>
      <c r="K5" s="1704"/>
      <c r="L5" s="1704"/>
      <c r="M5" s="1704"/>
      <c r="N5" s="1704"/>
      <c r="O5" s="1704"/>
      <c r="P5" s="1704"/>
      <c r="Q5" s="1704"/>
      <c r="R5" s="1702"/>
      <c r="S5" s="1702"/>
      <c r="T5" s="1702"/>
      <c r="U5" s="1705"/>
      <c r="V5" s="1705" t="s">
        <v>358</v>
      </c>
    </row>
    <row r="6" spans="1:22" s="1702" customFormat="1" ht="31.5" x14ac:dyDescent="0.5">
      <c r="A6" s="2396" t="s">
        <v>799</v>
      </c>
      <c r="B6" s="2397"/>
      <c r="C6" s="2397"/>
      <c r="D6" s="2397"/>
      <c r="E6" s="2397"/>
      <c r="F6" s="2397"/>
      <c r="G6" s="2397"/>
      <c r="H6" s="2398"/>
      <c r="I6" s="2398"/>
      <c r="J6" s="2398"/>
      <c r="K6" s="2399"/>
      <c r="L6" s="2396" t="s">
        <v>800</v>
      </c>
      <c r="M6" s="2397"/>
      <c r="N6" s="2397"/>
      <c r="O6" s="2397"/>
      <c r="P6" s="2397"/>
      <c r="Q6" s="2397"/>
      <c r="R6" s="2397"/>
      <c r="S6" s="2400"/>
      <c r="T6" s="2400"/>
      <c r="U6" s="2400"/>
      <c r="V6" s="2401"/>
    </row>
    <row r="7" spans="1:22" s="255" customFormat="1" ht="189.75" customHeight="1" x14ac:dyDescent="0.3">
      <c r="A7" s="1668" t="s">
        <v>359</v>
      </c>
      <c r="B7" s="1669" t="s">
        <v>628</v>
      </c>
      <c r="C7" s="1670" t="s">
        <v>877</v>
      </c>
      <c r="D7" s="1671" t="s">
        <v>1050</v>
      </c>
      <c r="E7" s="1671" t="s">
        <v>1083</v>
      </c>
      <c r="F7" s="1672" t="s">
        <v>1084</v>
      </c>
      <c r="G7" s="1673" t="s">
        <v>629</v>
      </c>
      <c r="H7" s="1674" t="s">
        <v>878</v>
      </c>
      <c r="I7" s="1674" t="s">
        <v>1051</v>
      </c>
      <c r="J7" s="1671" t="s">
        <v>1087</v>
      </c>
      <c r="K7" s="1672" t="s">
        <v>1084</v>
      </c>
      <c r="L7" s="1668" t="s">
        <v>359</v>
      </c>
      <c r="M7" s="1669" t="s">
        <v>630</v>
      </c>
      <c r="N7" s="1670" t="s">
        <v>879</v>
      </c>
      <c r="O7" s="1674" t="s">
        <v>1052</v>
      </c>
      <c r="P7" s="1671" t="s">
        <v>1085</v>
      </c>
      <c r="Q7" s="1672" t="s">
        <v>1084</v>
      </c>
      <c r="R7" s="1675" t="s">
        <v>631</v>
      </c>
      <c r="S7" s="1670" t="s">
        <v>880</v>
      </c>
      <c r="T7" s="1674" t="s">
        <v>1053</v>
      </c>
      <c r="U7" s="1671" t="s">
        <v>1086</v>
      </c>
      <c r="V7" s="1672" t="s">
        <v>1084</v>
      </c>
    </row>
    <row r="8" spans="1:22" s="295" customFormat="1" ht="70.5" customHeight="1" x14ac:dyDescent="0.2">
      <c r="A8" s="1696" t="s">
        <v>347</v>
      </c>
      <c r="B8" s="1046">
        <f>'2.Bevételek_részletes'!W10</f>
        <v>2</v>
      </c>
      <c r="C8" s="1676">
        <f>'2.Bevételek_részletes'!X10</f>
        <v>880397.701906275</v>
      </c>
      <c r="D8" s="1677">
        <f>'2.Bevételek_részletes'!Y10</f>
        <v>972937.701906275</v>
      </c>
      <c r="E8" s="1677">
        <f>'2.Bevételek_részletes'!Z10</f>
        <v>984230</v>
      </c>
      <c r="F8" s="1678">
        <f>E8/D8%</f>
        <v>101.16063937820481</v>
      </c>
      <c r="G8" s="1679">
        <f>'2.Bevételek_részletes'!AB10</f>
        <v>864870</v>
      </c>
      <c r="H8" s="1677">
        <f>'2.Bevételek_részletes'!AC10</f>
        <v>880397.701906275</v>
      </c>
      <c r="I8" s="1677">
        <f>'2.Bevételek_részletes'!AD10</f>
        <v>972937.701906275</v>
      </c>
      <c r="J8" s="1677">
        <f>'2.Bevételek_részletes'!AE10</f>
        <v>984230</v>
      </c>
      <c r="K8" s="1678">
        <f>J8/I8%</f>
        <v>101.16063937820481</v>
      </c>
      <c r="L8" s="1698" t="s">
        <v>328</v>
      </c>
      <c r="M8" s="1049">
        <f>'2.Kiadások_részletes '!W11</f>
        <v>689080</v>
      </c>
      <c r="N8" s="1687">
        <f>'2.Kiadások_részletes '!X11</f>
        <v>780942</v>
      </c>
      <c r="O8" s="1688">
        <f>'2.Kiadások_részletes '!Y11</f>
        <v>801360</v>
      </c>
      <c r="P8" s="1688">
        <f>'2.Kiadások_részletes '!Z11</f>
        <v>743584</v>
      </c>
      <c r="Q8" s="1678">
        <f>P8/O8%</f>
        <v>92.790256563841467</v>
      </c>
      <c r="R8" s="1689">
        <f>'2.Kiadások_részletes '!AB11</f>
        <v>689080</v>
      </c>
      <c r="S8" s="1687">
        <f>'2.Kiadások_részletes '!AC11</f>
        <v>780942</v>
      </c>
      <c r="T8" s="1688">
        <f>'2.Kiadások_részletes '!AD11</f>
        <v>801360</v>
      </c>
      <c r="U8" s="1688">
        <f>'2.Kiadások_részletes '!AE11</f>
        <v>743584</v>
      </c>
      <c r="V8" s="1678">
        <f>U8/T8%</f>
        <v>92.790256563841467</v>
      </c>
    </row>
    <row r="9" spans="1:22" s="295" customFormat="1" ht="70.5" customHeight="1" x14ac:dyDescent="0.2">
      <c r="A9" s="1696" t="s">
        <v>348</v>
      </c>
      <c r="B9" s="1046">
        <f>'2.Bevételek_részletes'!W13</f>
        <v>0</v>
      </c>
      <c r="C9" s="1676">
        <f>'2.Bevételek_részletes'!X13</f>
        <v>0</v>
      </c>
      <c r="D9" s="1677">
        <f>'2.Bevételek_részletes'!Y13</f>
        <v>124397</v>
      </c>
      <c r="E9" s="1677">
        <f>'2.Bevételek_részletes'!Z13</f>
        <v>124397</v>
      </c>
      <c r="F9" s="1678">
        <f t="shared" ref="F9:F17" si="0">E9/D9%</f>
        <v>100</v>
      </c>
      <c r="G9" s="1679">
        <f>'2.Bevételek_részletes'!AB13</f>
        <v>0</v>
      </c>
      <c r="H9" s="1677">
        <f>'2.Bevételek_részletes'!AC13</f>
        <v>0</v>
      </c>
      <c r="I9" s="1677">
        <f>'2.Bevételek_részletes'!AD13</f>
        <v>124397</v>
      </c>
      <c r="J9" s="1677">
        <f>'2.Bevételek_részletes'!AE13</f>
        <v>124397</v>
      </c>
      <c r="K9" s="1678">
        <f t="shared" ref="K9:K16" si="1">J9/I9%</f>
        <v>100</v>
      </c>
      <c r="L9" s="1696" t="s">
        <v>329</v>
      </c>
      <c r="M9" s="1049">
        <f>'2.Kiadások_részletes '!W12</f>
        <v>176862</v>
      </c>
      <c r="N9" s="1687">
        <f>'2.Kiadások_részletes '!X12</f>
        <v>177320</v>
      </c>
      <c r="O9" s="1688">
        <f>'2.Kiadások_részletes '!Y12</f>
        <v>187343</v>
      </c>
      <c r="P9" s="1688">
        <f>'2.Kiadások_részletes '!Z12</f>
        <v>173277</v>
      </c>
      <c r="Q9" s="1678">
        <f t="shared" ref="Q9:Q16" si="2">P9/O9%</f>
        <v>92.491846506141144</v>
      </c>
      <c r="R9" s="1689">
        <f>'2.Kiadások_részletes '!AB12</f>
        <v>176862</v>
      </c>
      <c r="S9" s="1687">
        <f>'2.Kiadások_részletes '!AC12</f>
        <v>177320</v>
      </c>
      <c r="T9" s="1688">
        <f>'2.Kiadások_részletes '!AD12</f>
        <v>187343</v>
      </c>
      <c r="U9" s="1688">
        <f>'2.Kiadások_részletes '!AE12</f>
        <v>173277</v>
      </c>
      <c r="V9" s="1678">
        <f t="shared" ref="V9:V17" si="3">U9/T9%</f>
        <v>92.491846506141144</v>
      </c>
    </row>
    <row r="10" spans="1:22" s="295" customFormat="1" ht="70.5" customHeight="1" x14ac:dyDescent="0.2">
      <c r="A10" s="1694" t="s">
        <v>349</v>
      </c>
      <c r="B10" s="1046">
        <f>'2.Bevételek_részletes'!W17</f>
        <v>0</v>
      </c>
      <c r="C10" s="1676">
        <f>'2.Bevételek_részletes'!X17</f>
        <v>632200</v>
      </c>
      <c r="D10" s="1677">
        <f>'2.Bevételek_részletes'!Y17</f>
        <v>631645</v>
      </c>
      <c r="E10" s="1677">
        <f>'2.Bevételek_részletes'!Z17</f>
        <v>695830</v>
      </c>
      <c r="F10" s="1678">
        <f t="shared" si="0"/>
        <v>110.16156226994593</v>
      </c>
      <c r="G10" s="1679">
        <f>'2.Bevételek_részletes'!AB17</f>
        <v>619900</v>
      </c>
      <c r="H10" s="1677">
        <f>'2.Bevételek_részletes'!AC17</f>
        <v>632200</v>
      </c>
      <c r="I10" s="1677">
        <f>'2.Bevételek_részletes'!AD17</f>
        <v>631645</v>
      </c>
      <c r="J10" s="1677">
        <f>'2.Bevételek_részletes'!AE17</f>
        <v>695830</v>
      </c>
      <c r="K10" s="1678">
        <f t="shared" si="1"/>
        <v>110.16156226994593</v>
      </c>
      <c r="L10" s="1694" t="s">
        <v>330</v>
      </c>
      <c r="M10" s="1049">
        <f>'2.Kiadások_részletes '!W13</f>
        <v>655044.94440000004</v>
      </c>
      <c r="N10" s="1687">
        <f>'2.Kiadások_részletes '!X13</f>
        <v>616436.06400000001</v>
      </c>
      <c r="O10" s="1688">
        <f>'2.Kiadások_részletes '!Y13</f>
        <v>708057.06400000001</v>
      </c>
      <c r="P10" s="1688">
        <f>'2.Kiadások_részletes '!Z13</f>
        <v>617795</v>
      </c>
      <c r="Q10" s="1678">
        <f t="shared" si="2"/>
        <v>87.25214836639212</v>
      </c>
      <c r="R10" s="1689">
        <f>'2.Kiadások_részletes '!AB13</f>
        <v>655044.94440000004</v>
      </c>
      <c r="S10" s="1687">
        <f>'2.Kiadások_részletes '!AC13</f>
        <v>616436.06400000001</v>
      </c>
      <c r="T10" s="1688">
        <f>'2.Kiadások_részletes '!AD13</f>
        <v>708057.06400000001</v>
      </c>
      <c r="U10" s="1688">
        <f>'2.Kiadások_részletes '!AE13</f>
        <v>617795</v>
      </c>
      <c r="V10" s="1678">
        <f t="shared" si="3"/>
        <v>87.25214836639212</v>
      </c>
    </row>
    <row r="11" spans="1:22" s="295" customFormat="1" ht="70.5" customHeight="1" x14ac:dyDescent="0.2">
      <c r="A11" s="1694" t="s">
        <v>350</v>
      </c>
      <c r="B11" s="1046">
        <f>'2.Bevételek_részletes'!W26</f>
        <v>0</v>
      </c>
      <c r="C11" s="1676">
        <f>'2.Bevételek_részletes'!X26</f>
        <v>300724.25436000002</v>
      </c>
      <c r="D11" s="1677">
        <f>'2.Bevételek_részletes'!Y26</f>
        <v>335125.25436000002</v>
      </c>
      <c r="E11" s="1677">
        <f>'2.Bevételek_részletes'!Z26</f>
        <v>265415.93200000003</v>
      </c>
      <c r="F11" s="1678">
        <f t="shared" si="0"/>
        <v>79.199024408612175</v>
      </c>
      <c r="G11" s="1679">
        <f>'2.Bevételek_részletes'!AB26</f>
        <v>316339.88199999998</v>
      </c>
      <c r="H11" s="1677">
        <f>'2.Bevételek_részletes'!AC26</f>
        <v>300724.25436000002</v>
      </c>
      <c r="I11" s="1677">
        <f>'2.Bevételek_részletes'!AD26</f>
        <v>335125.25436000002</v>
      </c>
      <c r="J11" s="1677">
        <f>'2.Bevételek_részletes'!AE26</f>
        <v>265415.93200000003</v>
      </c>
      <c r="K11" s="1678">
        <f t="shared" si="1"/>
        <v>79.199024408612175</v>
      </c>
      <c r="L11" s="1694" t="s">
        <v>331</v>
      </c>
      <c r="M11" s="1049">
        <f>'2.Kiadások_részletes '!W14</f>
        <v>20171</v>
      </c>
      <c r="N11" s="1687">
        <f>'2.Kiadások_részletes '!X14</f>
        <v>19366</v>
      </c>
      <c r="O11" s="1688">
        <f>'2.Kiadások_részletes '!Y14</f>
        <v>19748</v>
      </c>
      <c r="P11" s="1688">
        <f>'2.Kiadások_részletes '!Z14</f>
        <v>14761</v>
      </c>
      <c r="Q11" s="1678">
        <f t="shared" si="2"/>
        <v>74.746809803524414</v>
      </c>
      <c r="R11" s="1689">
        <f>'2.Kiadások_részletes '!AB14</f>
        <v>20171</v>
      </c>
      <c r="S11" s="1687">
        <f>'2.Kiadások_részletes '!AC14</f>
        <v>19366</v>
      </c>
      <c r="T11" s="1688">
        <f>'2.Kiadások_részletes '!AD14</f>
        <v>19748</v>
      </c>
      <c r="U11" s="1688">
        <f>'2.Kiadások_részletes '!AE14</f>
        <v>14761</v>
      </c>
      <c r="V11" s="1678">
        <f t="shared" si="3"/>
        <v>74.746809803524414</v>
      </c>
    </row>
    <row r="12" spans="1:22" s="295" customFormat="1" ht="70.5" customHeight="1" x14ac:dyDescent="0.2">
      <c r="A12" s="1694" t="s">
        <v>351</v>
      </c>
      <c r="B12" s="1046">
        <f>'2.Bevételek_részletes'!W29</f>
        <v>0</v>
      </c>
      <c r="C12" s="1676">
        <f>'2.Bevételek_részletes'!X29</f>
        <v>8379</v>
      </c>
      <c r="D12" s="1677">
        <f>'2.Bevételek_részletes'!Y29</f>
        <v>8379</v>
      </c>
      <c r="E12" s="1677">
        <f>'2.Bevételek_részletes'!Z29</f>
        <v>10315</v>
      </c>
      <c r="F12" s="1678">
        <f t="shared" si="0"/>
        <v>123.10538250387873</v>
      </c>
      <c r="G12" s="1679">
        <f>'2.Bevételek_részletes'!AB29</f>
        <v>19721</v>
      </c>
      <c r="H12" s="1677">
        <f>'2.Bevételek_részletes'!AC29</f>
        <v>8379</v>
      </c>
      <c r="I12" s="1677">
        <f>'2.Bevételek_részletes'!AD29</f>
        <v>8379</v>
      </c>
      <c r="J12" s="1677">
        <f>'2.Bevételek_részletes'!AE29</f>
        <v>10315</v>
      </c>
      <c r="K12" s="1678">
        <f t="shared" si="1"/>
        <v>123.10538250387873</v>
      </c>
      <c r="L12" s="1694" t="s">
        <v>332</v>
      </c>
      <c r="M12" s="1049">
        <f>'2.Kiadások_részletes '!W19</f>
        <v>436438</v>
      </c>
      <c r="N12" s="1687">
        <f>'2.Kiadások_részletes '!X19</f>
        <v>316342</v>
      </c>
      <c r="O12" s="1688">
        <f>'2.Kiadások_részletes '!Y19</f>
        <v>263261</v>
      </c>
      <c r="P12" s="1688">
        <f>'2.Kiadások_részletes '!Z19</f>
        <v>149617</v>
      </c>
      <c r="Q12" s="1678">
        <f t="shared" si="2"/>
        <v>56.83219314672511</v>
      </c>
      <c r="R12" s="1689">
        <f>'2.Kiadások_részletes '!AB19</f>
        <v>436438</v>
      </c>
      <c r="S12" s="1687">
        <f>'2.Kiadások_részletes '!AC19</f>
        <v>316342</v>
      </c>
      <c r="T12" s="1688">
        <f>'2.Kiadások_részletes '!AD19</f>
        <v>263261</v>
      </c>
      <c r="U12" s="1688">
        <f>'2.Kiadások_részletes '!AE19</f>
        <v>149617</v>
      </c>
      <c r="V12" s="1678">
        <f t="shared" si="3"/>
        <v>56.83219314672511</v>
      </c>
    </row>
    <row r="13" spans="1:22" s="295" customFormat="1" ht="70.5" customHeight="1" x14ac:dyDescent="0.2">
      <c r="A13" s="1694" t="s">
        <v>352</v>
      </c>
      <c r="B13" s="1046">
        <f>'2.Bevételek_részletes'!W31</f>
        <v>0</v>
      </c>
      <c r="C13" s="1676">
        <f>'2.Bevételek_részletes'!X31</f>
        <v>0</v>
      </c>
      <c r="D13" s="1677">
        <f>'2.Bevételek_részletes'!Y31</f>
        <v>760</v>
      </c>
      <c r="E13" s="1677">
        <f>'2.Bevételek_részletes'!Z31</f>
        <v>760</v>
      </c>
      <c r="F13" s="1678">
        <f t="shared" si="0"/>
        <v>100</v>
      </c>
      <c r="G13" s="1679">
        <f>'2.Bevételek_részletes'!AB31</f>
        <v>102</v>
      </c>
      <c r="H13" s="1677">
        <f>'2.Bevételek_részletes'!AC31</f>
        <v>0</v>
      </c>
      <c r="I13" s="1677">
        <f>'2.Bevételek_részletes'!AD31</f>
        <v>760</v>
      </c>
      <c r="J13" s="1677">
        <f>'2.Bevételek_részletes'!AE31</f>
        <v>760</v>
      </c>
      <c r="K13" s="1678">
        <f t="shared" si="1"/>
        <v>100</v>
      </c>
      <c r="L13" s="1694" t="s">
        <v>333</v>
      </c>
      <c r="M13" s="1049">
        <f>'2.Kiadások_részletes '!W21</f>
        <v>255991</v>
      </c>
      <c r="N13" s="1687">
        <f>'2.Kiadások_részletes '!X21</f>
        <v>280932</v>
      </c>
      <c r="O13" s="1688">
        <f>'2.Kiadások_részletes '!Y21</f>
        <v>334443</v>
      </c>
      <c r="P13" s="1688">
        <f>'2.Kiadások_részletes '!Z21</f>
        <v>263733.15000000002</v>
      </c>
      <c r="Q13" s="1678">
        <f t="shared" si="2"/>
        <v>78.857428620123613</v>
      </c>
      <c r="R13" s="1689">
        <f>'2.Kiadások_részletes '!AB21</f>
        <v>255991</v>
      </c>
      <c r="S13" s="1687">
        <f>'2.Kiadások_részletes '!AC21</f>
        <v>280932</v>
      </c>
      <c r="T13" s="1688">
        <f>'2.Kiadások_részletes '!AD21</f>
        <v>334443</v>
      </c>
      <c r="U13" s="1688">
        <f>'2.Kiadások_részletes '!AE21</f>
        <v>263733.15000000002</v>
      </c>
      <c r="V13" s="1678">
        <f t="shared" si="3"/>
        <v>78.857428620123613</v>
      </c>
    </row>
    <row r="14" spans="1:22" s="295" customFormat="1" ht="70.5" customHeight="1" x14ac:dyDescent="0.2">
      <c r="A14" s="1694" t="s">
        <v>353</v>
      </c>
      <c r="B14" s="1046">
        <f>'2.Bevételek_részletes'!W34</f>
        <v>0</v>
      </c>
      <c r="C14" s="1676">
        <f>'2.Bevételek_részletes'!X34</f>
        <v>2726</v>
      </c>
      <c r="D14" s="1677">
        <f>'2.Bevételek_részletes'!Y34</f>
        <v>660</v>
      </c>
      <c r="E14" s="1677">
        <f>'2.Bevételek_részletes'!Z34</f>
        <v>1396</v>
      </c>
      <c r="F14" s="1678">
        <f t="shared" si="0"/>
        <v>211.51515151515153</v>
      </c>
      <c r="G14" s="1679">
        <f>'2.Bevételek_részletes'!AB34</f>
        <v>6234</v>
      </c>
      <c r="H14" s="1677">
        <f>'2.Bevételek_részletes'!AC34</f>
        <v>2726</v>
      </c>
      <c r="I14" s="1677">
        <f>'2.Bevételek_részletes'!AD34</f>
        <v>660</v>
      </c>
      <c r="J14" s="1677">
        <f>'2.Bevételek_részletes'!AE34</f>
        <v>1396</v>
      </c>
      <c r="K14" s="1678">
        <f t="shared" si="1"/>
        <v>211.51515151515153</v>
      </c>
      <c r="L14" s="1694" t="s">
        <v>334</v>
      </c>
      <c r="M14" s="1049">
        <f>'2.Kiadások_részletes '!W22</f>
        <v>10560</v>
      </c>
      <c r="N14" s="1687">
        <f>'2.Kiadások_részletes '!X22</f>
        <v>26619</v>
      </c>
      <c r="O14" s="1688">
        <f>'2.Kiadások_részletes '!Y22</f>
        <v>129254</v>
      </c>
      <c r="P14" s="1688">
        <f>'2.Kiadások_részletes '!Z22</f>
        <v>92943</v>
      </c>
      <c r="Q14" s="1678">
        <f t="shared" si="2"/>
        <v>71.907252386773337</v>
      </c>
      <c r="R14" s="1689">
        <f>'2.Kiadások_részletes '!AB22</f>
        <v>10560</v>
      </c>
      <c r="S14" s="1687">
        <f>'2.Kiadások_részletes '!AC22</f>
        <v>26619</v>
      </c>
      <c r="T14" s="1688">
        <f>'2.Kiadások_részletes '!AD22</f>
        <v>129254</v>
      </c>
      <c r="U14" s="1688">
        <f>'2.Kiadások_részletes '!AE22</f>
        <v>92943</v>
      </c>
      <c r="V14" s="1678">
        <f t="shared" si="3"/>
        <v>71.907252386773337</v>
      </c>
    </row>
    <row r="15" spans="1:22" s="295" customFormat="1" ht="70.5" customHeight="1" x14ac:dyDescent="0.2">
      <c r="A15" s="1695" t="s">
        <v>354</v>
      </c>
      <c r="B15" s="1047">
        <f>SUM(B8:B14)-1</f>
        <v>1</v>
      </c>
      <c r="C15" s="1680">
        <f>SUM(C8:C14)</f>
        <v>1824426.9562662751</v>
      </c>
      <c r="D15" s="1681">
        <f>SUM(D8:D14)</f>
        <v>2073903.9562662751</v>
      </c>
      <c r="E15" s="1681">
        <f>SUM(E8:E14)</f>
        <v>2082343.932</v>
      </c>
      <c r="F15" s="1706">
        <f t="shared" si="0"/>
        <v>100.40696078081261</v>
      </c>
      <c r="G15" s="1682">
        <f>SUM(G8:G14)-1</f>
        <v>1827165.882</v>
      </c>
      <c r="H15" s="1681">
        <f>SUM(H8:H14)</f>
        <v>1824426.9562662751</v>
      </c>
      <c r="I15" s="1681">
        <f>SUM(I8:I14)</f>
        <v>2073903.9562662751</v>
      </c>
      <c r="J15" s="1681">
        <f>SUM(J8:J14)</f>
        <v>2082343.932</v>
      </c>
      <c r="K15" s="1706">
        <f t="shared" si="1"/>
        <v>100.40696078081261</v>
      </c>
      <c r="L15" s="1694" t="s">
        <v>335</v>
      </c>
      <c r="M15" s="1049">
        <f>'2.Kiadások_részletes '!W25</f>
        <v>0</v>
      </c>
      <c r="N15" s="1687">
        <f>'2.Kiadások_részletes '!X25</f>
        <v>0</v>
      </c>
      <c r="O15" s="1688">
        <f>'2.Kiadások_részletes '!Y25</f>
        <v>0</v>
      </c>
      <c r="P15" s="1688">
        <f>'2.Kiadások_részletes '!Z25</f>
        <v>0</v>
      </c>
      <c r="Q15" s="1678"/>
      <c r="R15" s="1689">
        <f>'2.Kiadások_részletes '!AB25</f>
        <v>0</v>
      </c>
      <c r="S15" s="1687">
        <f>'2.Kiadások_részletes '!AC25</f>
        <v>0</v>
      </c>
      <c r="T15" s="1688">
        <f>'2.Kiadások_részletes '!AD25</f>
        <v>0</v>
      </c>
      <c r="U15" s="1688">
        <f>'2.Kiadások_részletes '!AE25</f>
        <v>0</v>
      </c>
      <c r="V15" s="1678"/>
    </row>
    <row r="16" spans="1:22" s="295" customFormat="1" ht="70.5" customHeight="1" x14ac:dyDescent="0.2">
      <c r="A16" s="1694" t="s">
        <v>355</v>
      </c>
      <c r="B16" s="1046">
        <f>'2.Bevételek_részletes'!W47</f>
        <v>0</v>
      </c>
      <c r="C16" s="1676">
        <f>'2.Bevételek_részletes'!X47</f>
        <v>1345925.9820000001</v>
      </c>
      <c r="D16" s="1677">
        <f>'2.Bevételek_részletes'!Y47</f>
        <v>1685487.9820000001</v>
      </c>
      <c r="E16" s="1677">
        <f>'2.Bevételek_részletes'!Z47</f>
        <v>1510922</v>
      </c>
      <c r="F16" s="1678">
        <f t="shared" si="0"/>
        <v>89.643000492186232</v>
      </c>
      <c r="G16" s="1679">
        <f>'2.Bevételek_részletes'!AB47</f>
        <v>480000</v>
      </c>
      <c r="H16" s="1677">
        <f>'2.Bevételek_részletes'!AC47</f>
        <v>415449</v>
      </c>
      <c r="I16" s="1677">
        <f>'2.Bevételek_részletes'!AD47</f>
        <v>741482</v>
      </c>
      <c r="J16" s="1677">
        <f>'2.Bevételek_részletes'!AE47</f>
        <v>657249</v>
      </c>
      <c r="K16" s="1678">
        <f t="shared" si="1"/>
        <v>88.639913039021849</v>
      </c>
      <c r="L16" s="1695" t="s">
        <v>336</v>
      </c>
      <c r="M16" s="1050">
        <f t="shared" ref="M16:S16" si="4">SUM(M8:M15)</f>
        <v>2244146.9443999999</v>
      </c>
      <c r="N16" s="1690">
        <f t="shared" si="4"/>
        <v>2217957.0640000002</v>
      </c>
      <c r="O16" s="1691">
        <f>SUM(O8:O15)+1</f>
        <v>2443467.0640000002</v>
      </c>
      <c r="P16" s="1691">
        <f>SUM(P8:P15)+1</f>
        <v>2055711.15</v>
      </c>
      <c r="Q16" s="1706">
        <f t="shared" si="2"/>
        <v>84.130913008287621</v>
      </c>
      <c r="R16" s="1692">
        <f t="shared" si="4"/>
        <v>2244146.9443999999</v>
      </c>
      <c r="S16" s="1690">
        <f t="shared" si="4"/>
        <v>2217957.0640000002</v>
      </c>
      <c r="T16" s="1691">
        <f>SUM(T8:T15)+1</f>
        <v>2443467.0640000002</v>
      </c>
      <c r="U16" s="1691">
        <f>SUM(U8:U15)+1</f>
        <v>2055711.15</v>
      </c>
      <c r="V16" s="1706">
        <f t="shared" si="3"/>
        <v>84.130913008287621</v>
      </c>
    </row>
    <row r="17" spans="1:22" s="295" customFormat="1" ht="70.5" customHeight="1" thickBot="1" x14ac:dyDescent="0.25">
      <c r="A17" s="1697" t="s">
        <v>356</v>
      </c>
      <c r="B17" s="1048">
        <f t="shared" ref="B17:I17" si="5">SUM(B15:B16)</f>
        <v>1</v>
      </c>
      <c r="C17" s="1683">
        <f t="shared" si="5"/>
        <v>3170352.9382662755</v>
      </c>
      <c r="D17" s="1684">
        <f t="shared" si="5"/>
        <v>3759391.9382662755</v>
      </c>
      <c r="E17" s="1684">
        <f t="shared" ref="E17" si="6">SUM(E15:E16)</f>
        <v>3593265.932</v>
      </c>
      <c r="F17" s="1985">
        <f t="shared" si="0"/>
        <v>95.581040524790623</v>
      </c>
      <c r="G17" s="1686">
        <f t="shared" si="5"/>
        <v>2307165.8820000002</v>
      </c>
      <c r="H17" s="1684">
        <f t="shared" si="5"/>
        <v>2239875.9562662751</v>
      </c>
      <c r="I17" s="1684">
        <f t="shared" si="5"/>
        <v>2815385.9562662751</v>
      </c>
      <c r="J17" s="1684">
        <f t="shared" ref="J17" si="7">SUM(J15:J16)</f>
        <v>2739592.932</v>
      </c>
      <c r="K17" s="1685">
        <f>J17/I17%</f>
        <v>97.307899327352246</v>
      </c>
      <c r="L17" s="1694" t="s">
        <v>337</v>
      </c>
      <c r="M17" s="1049">
        <f>'2.Kiadások_részletes '!W34</f>
        <v>780936</v>
      </c>
      <c r="N17" s="1687">
        <f>'2.Kiadások_részletes '!X34</f>
        <v>952395.98200000008</v>
      </c>
      <c r="O17" s="1688">
        <f>'2.Kiadások_részletes '!Y34</f>
        <v>1315924.9820000001</v>
      </c>
      <c r="P17" s="1688">
        <f>'2.Kiadások_részletes '!Z34</f>
        <v>1224948</v>
      </c>
      <c r="Q17" s="1678">
        <f>P17/O17%</f>
        <v>93.08646136790189</v>
      </c>
      <c r="R17" s="1689">
        <f>'2.Kiadások_részletes '!AB34</f>
        <v>1320</v>
      </c>
      <c r="S17" s="1687">
        <f>'2.Kiadások_részletes '!AC34</f>
        <v>21919</v>
      </c>
      <c r="T17" s="1688">
        <f>'2.Kiadások_részletes '!AD34</f>
        <v>371919</v>
      </c>
      <c r="U17" s="1688">
        <f>'2.Kiadások_részletes '!AE34</f>
        <v>371275</v>
      </c>
      <c r="V17" s="1678">
        <f t="shared" si="3"/>
        <v>99.826844017111256</v>
      </c>
    </row>
    <row r="18" spans="1:22" s="295" customFormat="1" ht="70.5" customHeight="1" thickBot="1" x14ac:dyDescent="0.25">
      <c r="B18" s="296"/>
      <c r="C18" s="296"/>
      <c r="D18" s="296"/>
      <c r="E18" s="296"/>
      <c r="F18" s="296"/>
      <c r="G18" s="296"/>
      <c r="H18" s="296"/>
      <c r="I18" s="296"/>
      <c r="J18" s="296"/>
      <c r="K18" s="296"/>
      <c r="L18" s="1699" t="s">
        <v>346</v>
      </c>
      <c r="M18" s="1048">
        <f t="shared" ref="M18:S18" si="8">SUM(M16:M17)</f>
        <v>3025082.9443999999</v>
      </c>
      <c r="N18" s="1683">
        <f t="shared" si="8"/>
        <v>3170353.0460000001</v>
      </c>
      <c r="O18" s="1684">
        <f>SUM(O16:O17)</f>
        <v>3759392.0460000001</v>
      </c>
      <c r="P18" s="1684">
        <f>SUM(P16:P17)</f>
        <v>3280659.15</v>
      </c>
      <c r="Q18" s="1685">
        <f>P18/O18%</f>
        <v>87.265683117317522</v>
      </c>
      <c r="R18" s="1693">
        <f t="shared" si="8"/>
        <v>2245466.9443999999</v>
      </c>
      <c r="S18" s="1683">
        <f t="shared" si="8"/>
        <v>2239876.0640000002</v>
      </c>
      <c r="T18" s="1684">
        <f>SUM(T16:T17)</f>
        <v>2815386.0640000002</v>
      </c>
      <c r="U18" s="1684">
        <f>SUM(U16:U17)</f>
        <v>2426986.15</v>
      </c>
      <c r="V18" s="1685">
        <f>U18/T18%</f>
        <v>86.204381737679853</v>
      </c>
    </row>
    <row r="21" spans="1:22" x14ac:dyDescent="0.3">
      <c r="B21" s="256">
        <f>B17-M18</f>
        <v>-3025081.9443999999</v>
      </c>
      <c r="C21" s="256"/>
      <c r="D21" s="256"/>
      <c r="E21" s="256"/>
      <c r="F21" s="256"/>
      <c r="G21" s="256">
        <f>G17-R18</f>
        <v>61698.937600000296</v>
      </c>
      <c r="H21" s="256"/>
      <c r="I21" s="256"/>
      <c r="J21" s="256"/>
      <c r="K21" s="256"/>
      <c r="M21" s="256"/>
      <c r="N21" s="256"/>
      <c r="O21" s="256"/>
      <c r="P21" s="256"/>
      <c r="Q21" s="256"/>
      <c r="R21" s="256"/>
    </row>
    <row r="22" spans="1:22" x14ac:dyDescent="0.3">
      <c r="B22" s="256">
        <f>B17-'2.Bevételek_részletes'!W48</f>
        <v>-1</v>
      </c>
      <c r="C22" s="256"/>
      <c r="D22" s="256"/>
      <c r="E22" s="256"/>
      <c r="F22" s="256"/>
      <c r="G22" s="256">
        <f>G17-'2.Bevételek_részletes'!AB48</f>
        <v>0</v>
      </c>
      <c r="H22" s="256"/>
      <c r="I22" s="256"/>
      <c r="J22" s="256"/>
      <c r="K22" s="256"/>
      <c r="M22" s="256">
        <f>M18-'2.Kiadások_részletes '!W35</f>
        <v>0</v>
      </c>
      <c r="N22" s="256"/>
      <c r="O22" s="256"/>
      <c r="P22" s="256"/>
      <c r="Q22" s="256"/>
      <c r="R22" s="256"/>
      <c r="S22" s="256"/>
      <c r="T22" s="256"/>
      <c r="U22" s="256"/>
      <c r="V22" s="256"/>
    </row>
    <row r="23" spans="1:22" x14ac:dyDescent="0.3">
      <c r="C23" s="256"/>
      <c r="D23" s="256"/>
      <c r="E23" s="256"/>
      <c r="F23" s="256"/>
      <c r="G23" s="256"/>
      <c r="H23" s="256"/>
      <c r="I23" s="256"/>
      <c r="J23" s="256"/>
      <c r="K23" s="256"/>
      <c r="N23" s="256"/>
      <c r="O23" s="256"/>
      <c r="P23" s="256"/>
      <c r="Q23" s="256"/>
      <c r="R23" s="256"/>
    </row>
    <row r="24" spans="1:22" x14ac:dyDescent="0.3">
      <c r="C24" s="256"/>
      <c r="D24" s="256"/>
      <c r="E24" s="256"/>
      <c r="F24" s="256"/>
      <c r="H24" s="256"/>
      <c r="I24" s="256"/>
      <c r="J24" s="256"/>
      <c r="K24" s="256"/>
      <c r="N24" s="256"/>
      <c r="O24" s="256"/>
      <c r="P24" s="256"/>
      <c r="Q24" s="256"/>
      <c r="R24" s="256"/>
    </row>
    <row r="25" spans="1:22" x14ac:dyDescent="0.3">
      <c r="C25" s="256"/>
      <c r="D25" s="256"/>
      <c r="E25" s="256"/>
      <c r="F25" s="256"/>
      <c r="N25" s="256"/>
      <c r="O25" s="256"/>
      <c r="P25" s="256"/>
      <c r="Q25" s="256"/>
    </row>
    <row r="26" spans="1:22" x14ac:dyDescent="0.3">
      <c r="C26" s="256"/>
      <c r="D26" s="256"/>
      <c r="E26" s="256"/>
      <c r="F26" s="256"/>
      <c r="H26" s="256"/>
      <c r="I26" s="256"/>
      <c r="J26" s="256"/>
      <c r="K26" s="256"/>
      <c r="R26" s="256"/>
    </row>
    <row r="27" spans="1:22" x14ac:dyDescent="0.3">
      <c r="A27" s="622"/>
      <c r="H27" s="256"/>
      <c r="I27" s="256"/>
      <c r="J27" s="256"/>
      <c r="K27" s="256"/>
      <c r="R27" s="256"/>
    </row>
    <row r="28" spans="1:22" x14ac:dyDescent="0.3">
      <c r="A28" s="513"/>
    </row>
    <row r="29" spans="1:22" x14ac:dyDescent="0.3">
      <c r="A29" s="622"/>
      <c r="B29" s="622"/>
      <c r="C29" s="622"/>
      <c r="D29" s="622"/>
      <c r="E29" s="622"/>
      <c r="F29" s="622"/>
      <c r="G29" s="622"/>
      <c r="H29" s="622"/>
      <c r="I29" s="622"/>
      <c r="J29" s="622"/>
      <c r="K29" s="622"/>
      <c r="L29" s="622"/>
      <c r="M29" s="622"/>
      <c r="N29" s="622"/>
      <c r="O29" s="622"/>
      <c r="P29" s="622"/>
      <c r="Q29" s="622"/>
      <c r="R29" s="622"/>
      <c r="S29" s="622"/>
    </row>
    <row r="30" spans="1:22" x14ac:dyDescent="0.3">
      <c r="A30" s="622"/>
      <c r="H30" s="256"/>
      <c r="I30" s="256"/>
      <c r="J30" s="256"/>
      <c r="K30" s="256"/>
    </row>
    <row r="31" spans="1:22" x14ac:dyDescent="0.3">
      <c r="A31" s="513"/>
      <c r="B31" s="513"/>
      <c r="C31" s="513"/>
      <c r="D31" s="513"/>
      <c r="E31" s="513"/>
      <c r="F31" s="513"/>
      <c r="G31" s="513"/>
      <c r="H31" s="513"/>
      <c r="I31" s="513"/>
      <c r="J31" s="513"/>
      <c r="K31" s="513"/>
      <c r="L31" s="513"/>
      <c r="M31" s="513"/>
      <c r="N31" s="513"/>
      <c r="O31" s="513"/>
      <c r="P31" s="513"/>
      <c r="Q31" s="513"/>
      <c r="R31" s="513"/>
      <c r="S31" s="513"/>
    </row>
    <row r="32" spans="1:22" x14ac:dyDescent="0.3">
      <c r="A32" s="622"/>
    </row>
    <row r="33" spans="2:11" x14ac:dyDescent="0.3">
      <c r="C33" s="256"/>
      <c r="D33" s="256"/>
      <c r="E33" s="256"/>
      <c r="F33" s="256"/>
      <c r="H33" s="256"/>
      <c r="I33" s="256"/>
      <c r="J33" s="256"/>
      <c r="K33" s="256"/>
    </row>
    <row r="41" spans="2:11" ht="20.25" x14ac:dyDescent="0.3">
      <c r="B41" s="641"/>
      <c r="H41" s="256"/>
      <c r="I41" s="256"/>
      <c r="J41" s="256"/>
      <c r="K41" s="256"/>
    </row>
    <row r="42" spans="2:11" x14ac:dyDescent="0.3">
      <c r="C42" s="256"/>
      <c r="D42" s="256"/>
      <c r="E42" s="256"/>
      <c r="F42" s="256"/>
      <c r="H42" s="256"/>
      <c r="I42" s="256"/>
      <c r="J42" s="256"/>
      <c r="K42" s="256"/>
    </row>
  </sheetData>
  <mergeCells count="5">
    <mergeCell ref="A6:K6"/>
    <mergeCell ref="L6:V6"/>
    <mergeCell ref="A1:V1"/>
    <mergeCell ref="A2:V2"/>
    <mergeCell ref="A3:V3"/>
  </mergeCells>
  <phoneticPr fontId="62" type="noConversion"/>
  <pageMargins left="0.26" right="0.2" top="0.35" bottom="0.74803149606299213" header="0.31496062992125984" footer="0.31496062992125984"/>
  <pageSetup paperSize="9" scale="31" orientation="landscape" verticalDpi="30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249977111117893"/>
    <pageSetUpPr fitToPage="1"/>
  </sheetPr>
  <dimension ref="A1:O57"/>
  <sheetViews>
    <sheetView view="pageBreakPreview" topLeftCell="B40" zoomScale="80" zoomScaleSheetLayoutView="80" workbookViewId="0">
      <selection activeCell="G66" sqref="G66"/>
    </sheetView>
  </sheetViews>
  <sheetFormatPr defaultColWidth="36.5703125" defaultRowHeight="15" x14ac:dyDescent="0.25"/>
  <cols>
    <col min="1" max="1" width="13.28515625" style="502" hidden="1" customWidth="1"/>
    <col min="2" max="2" width="8.28515625" style="501" customWidth="1"/>
    <col min="3" max="3" width="15" style="502" customWidth="1"/>
    <col min="4" max="4" width="78.28515625" style="497" customWidth="1"/>
    <col min="5" max="5" width="18.140625" style="500" hidden="1" customWidth="1"/>
    <col min="6" max="7" width="18.140625" style="500" customWidth="1"/>
    <col min="8" max="8" width="16.85546875" style="497" hidden="1" customWidth="1"/>
    <col min="9" max="11" width="16.85546875" style="497" customWidth="1"/>
    <col min="12" max="12" width="27.5703125" style="469" customWidth="1"/>
    <col min="13" max="13" width="36.5703125" style="469"/>
    <col min="14" max="14" width="7.42578125" style="469" customWidth="1"/>
    <col min="15" max="15" width="16.7109375" style="469" customWidth="1"/>
    <col min="16" max="16384" width="36.5703125" style="469"/>
  </cols>
  <sheetData>
    <row r="1" spans="1:13" ht="18.75" x14ac:dyDescent="0.25">
      <c r="A1" s="2508" t="str">
        <f>Tartalomjegyzék_2017!A1</f>
        <v>Pilisvörösvár Város Önkormányzata Képviselő-testületének 7/2018. (IV. 27.) önkormányzati rendelete</v>
      </c>
      <c r="B1" s="2508"/>
      <c r="C1" s="2508"/>
      <c r="D1" s="2508"/>
      <c r="E1" s="2508"/>
      <c r="F1" s="2508"/>
      <c r="G1" s="2508"/>
      <c r="H1" s="2509"/>
      <c r="I1" s="2509"/>
      <c r="J1" s="2509"/>
      <c r="K1" s="935"/>
    </row>
    <row r="2" spans="1:13" ht="18.75" customHeight="1" x14ac:dyDescent="0.25">
      <c r="A2" s="2508" t="str">
        <f>'16. Dologi kiadások cofog(K3)'!A2:J2</f>
        <v>az Önkormányzat  2017. évi zárszámadásáról</v>
      </c>
      <c r="B2" s="2508"/>
      <c r="C2" s="2508"/>
      <c r="D2" s="2508"/>
      <c r="E2" s="2508"/>
      <c r="F2" s="2508"/>
      <c r="G2" s="2508"/>
      <c r="H2" s="2509"/>
      <c r="I2" s="2509"/>
      <c r="J2" s="2509"/>
      <c r="K2" s="935"/>
    </row>
    <row r="3" spans="1:13" ht="18.75" customHeight="1" x14ac:dyDescent="0.25">
      <c r="A3" s="2508" t="e">
        <f>Tartalomjegyzék_2017!#REF!</f>
        <v>#REF!</v>
      </c>
      <c r="B3" s="2508"/>
      <c r="C3" s="2508"/>
      <c r="D3" s="2508"/>
      <c r="E3" s="2508"/>
      <c r="F3" s="2508"/>
      <c r="G3" s="2508"/>
      <c r="H3" s="2509"/>
      <c r="I3" s="2509"/>
      <c r="J3" s="2509"/>
      <c r="K3" s="935"/>
    </row>
    <row r="4" spans="1:13" ht="18.75" x14ac:dyDescent="0.3">
      <c r="A4" s="594"/>
      <c r="B4" s="594"/>
      <c r="C4" s="594"/>
      <c r="D4" s="594"/>
      <c r="E4" s="594"/>
      <c r="F4" s="594"/>
      <c r="G4" s="594"/>
      <c r="H4" s="599"/>
      <c r="J4" s="606" t="s">
        <v>1014</v>
      </c>
      <c r="K4" s="606"/>
    </row>
    <row r="5" spans="1:13" ht="18.75" x14ac:dyDescent="0.25">
      <c r="A5" s="498"/>
      <c r="B5" s="499"/>
      <c r="C5" s="499"/>
      <c r="D5" s="499"/>
      <c r="E5" s="499"/>
      <c r="F5" s="499"/>
      <c r="G5" s="499"/>
      <c r="H5" s="469"/>
      <c r="J5" s="262" t="s">
        <v>1015</v>
      </c>
      <c r="K5" s="512"/>
    </row>
    <row r="6" spans="1:13" ht="19.5" thickBot="1" x14ac:dyDescent="0.3">
      <c r="A6" s="497"/>
      <c r="H6" s="469"/>
      <c r="J6" s="748" t="s">
        <v>323</v>
      </c>
      <c r="K6" s="748"/>
    </row>
    <row r="7" spans="1:13" s="468" customFormat="1" ht="101.25" customHeight="1" x14ac:dyDescent="0.25">
      <c r="A7" s="964" t="s">
        <v>158</v>
      </c>
      <c r="B7" s="768" t="s">
        <v>3</v>
      </c>
      <c r="C7" s="972" t="s">
        <v>158</v>
      </c>
      <c r="D7" s="769" t="s">
        <v>363</v>
      </c>
      <c r="E7" s="913" t="s">
        <v>632</v>
      </c>
      <c r="F7" s="926" t="str">
        <f>'16. Dologi kiadások cofog(K3)'!E8</f>
        <v>Önkormányzat 2017. évi eredeti előirányzat</v>
      </c>
      <c r="G7" s="771" t="str">
        <f>'16. Dologi kiadások cofog(K3)'!F8</f>
        <v>Önkormányzat 2017. évi módosított előirányzat 2017.12.31</v>
      </c>
      <c r="H7" s="920" t="s">
        <v>633</v>
      </c>
      <c r="I7" s="770" t="str">
        <f>'16. Dologi kiadások cofog(K3)'!J8</f>
        <v>Polgármesteri Hivatal 2017. évi eredeti előirányzat</v>
      </c>
      <c r="J7" s="771" t="str">
        <f>'16. Dologi kiadások cofog(K3)'!K8</f>
        <v>Polgármesteri Hivatal 2017. évi módosított előirányzat 2017.12.31.</v>
      </c>
      <c r="K7" s="937"/>
    </row>
    <row r="8" spans="1:13" ht="23.25" x14ac:dyDescent="0.25">
      <c r="A8" s="965" t="s">
        <v>159</v>
      </c>
      <c r="B8" s="973" t="s">
        <v>160</v>
      </c>
      <c r="C8" s="974" t="s">
        <v>161</v>
      </c>
      <c r="D8" s="503" t="s">
        <v>809</v>
      </c>
      <c r="E8" s="914">
        <f>500+300</f>
        <v>800</v>
      </c>
      <c r="F8" s="927">
        <v>500</v>
      </c>
      <c r="G8" s="773">
        <f>F8</f>
        <v>500</v>
      </c>
      <c r="H8" s="921">
        <v>100</v>
      </c>
      <c r="I8" s="772">
        <v>15</v>
      </c>
      <c r="J8" s="773">
        <f>I8</f>
        <v>15</v>
      </c>
      <c r="K8" s="938"/>
    </row>
    <row r="9" spans="1:13" ht="23.25" x14ac:dyDescent="0.25">
      <c r="A9" s="965" t="s">
        <v>162</v>
      </c>
      <c r="B9" s="973" t="s">
        <v>163</v>
      </c>
      <c r="C9" s="974" t="s">
        <v>161</v>
      </c>
      <c r="D9" s="503" t="s">
        <v>164</v>
      </c>
      <c r="E9" s="915"/>
      <c r="F9" s="927">
        <v>17</v>
      </c>
      <c r="G9" s="773">
        <f t="shared" ref="G9:G16" si="0">F9</f>
        <v>17</v>
      </c>
      <c r="H9" s="922">
        <v>50</v>
      </c>
      <c r="I9" s="772">
        <v>55</v>
      </c>
      <c r="J9" s="773">
        <f>I9+10+14</f>
        <v>79</v>
      </c>
      <c r="K9" s="938"/>
    </row>
    <row r="10" spans="1:13" ht="23.25" x14ac:dyDescent="0.25">
      <c r="A10" s="966" t="s">
        <v>165</v>
      </c>
      <c r="B10" s="973" t="s">
        <v>826</v>
      </c>
      <c r="C10" s="974" t="s">
        <v>161</v>
      </c>
      <c r="D10" s="503" t="s">
        <v>752</v>
      </c>
      <c r="E10" s="915"/>
      <c r="F10" s="927"/>
      <c r="G10" s="773">
        <f t="shared" si="0"/>
        <v>0</v>
      </c>
      <c r="H10" s="922">
        <v>200</v>
      </c>
      <c r="I10" s="772">
        <v>0</v>
      </c>
      <c r="J10" s="773">
        <f t="shared" ref="J10:J18" si="1">I10</f>
        <v>0</v>
      </c>
      <c r="K10" s="938"/>
    </row>
    <row r="11" spans="1:13" ht="23.25" hidden="1" x14ac:dyDescent="0.25">
      <c r="A11" s="966" t="s">
        <v>165</v>
      </c>
      <c r="B11" s="973" t="s">
        <v>168</v>
      </c>
      <c r="C11" s="974" t="s">
        <v>161</v>
      </c>
      <c r="D11" s="503" t="s">
        <v>681</v>
      </c>
      <c r="E11" s="915"/>
      <c r="F11" s="927"/>
      <c r="G11" s="773">
        <f t="shared" si="0"/>
        <v>0</v>
      </c>
      <c r="H11" s="922">
        <v>0</v>
      </c>
      <c r="I11" s="772"/>
      <c r="J11" s="773">
        <f t="shared" si="1"/>
        <v>0</v>
      </c>
      <c r="K11" s="938"/>
      <c r="L11" s="469" t="s">
        <v>74</v>
      </c>
    </row>
    <row r="12" spans="1:13" ht="23.25" x14ac:dyDescent="0.25">
      <c r="A12" s="966" t="s">
        <v>167</v>
      </c>
      <c r="B12" s="973" t="s">
        <v>166</v>
      </c>
      <c r="C12" s="974" t="s">
        <v>169</v>
      </c>
      <c r="D12" s="503" t="s">
        <v>766</v>
      </c>
      <c r="E12" s="915">
        <v>50</v>
      </c>
      <c r="F12" s="927"/>
      <c r="G12" s="773">
        <f t="shared" si="0"/>
        <v>0</v>
      </c>
      <c r="H12" s="922">
        <v>100</v>
      </c>
      <c r="I12" s="772">
        <v>0</v>
      </c>
      <c r="J12" s="773">
        <f t="shared" si="1"/>
        <v>0</v>
      </c>
      <c r="K12" s="938"/>
    </row>
    <row r="13" spans="1:13" ht="23.25" x14ac:dyDescent="0.25">
      <c r="A13" s="966" t="s">
        <v>170</v>
      </c>
      <c r="B13" s="973" t="s">
        <v>168</v>
      </c>
      <c r="C13" s="974" t="s">
        <v>169</v>
      </c>
      <c r="D13" s="503" t="s">
        <v>172</v>
      </c>
      <c r="E13" s="915">
        <v>150</v>
      </c>
      <c r="F13" s="927">
        <v>106</v>
      </c>
      <c r="G13" s="773">
        <f t="shared" si="0"/>
        <v>106</v>
      </c>
      <c r="H13" s="922">
        <v>3000</v>
      </c>
      <c r="I13" s="772">
        <v>3210</v>
      </c>
      <c r="J13" s="1012">
        <f>I13-10-14-50-25-55-7-263-268-47</f>
        <v>2471</v>
      </c>
      <c r="K13" s="938"/>
    </row>
    <row r="14" spans="1:13" ht="23.25" x14ac:dyDescent="0.25">
      <c r="A14" s="966" t="s">
        <v>173</v>
      </c>
      <c r="B14" s="973" t="s">
        <v>827</v>
      </c>
      <c r="C14" s="974" t="s">
        <v>169</v>
      </c>
      <c r="D14" s="503" t="s">
        <v>175</v>
      </c>
      <c r="E14" s="915"/>
      <c r="F14" s="927">
        <v>338</v>
      </c>
      <c r="G14" s="773">
        <f>F14+45</f>
        <v>383</v>
      </c>
      <c r="H14" s="922">
        <v>3000</v>
      </c>
      <c r="I14" s="772">
        <v>1200</v>
      </c>
      <c r="J14" s="773">
        <f t="shared" si="1"/>
        <v>1200</v>
      </c>
      <c r="K14" s="938"/>
    </row>
    <row r="15" spans="1:13" ht="23.25" hidden="1" x14ac:dyDescent="0.25">
      <c r="A15" s="966" t="s">
        <v>176</v>
      </c>
      <c r="B15" s="973" t="s">
        <v>179</v>
      </c>
      <c r="C15" s="974" t="s">
        <v>169</v>
      </c>
      <c r="D15" s="503" t="s">
        <v>765</v>
      </c>
      <c r="E15" s="915"/>
      <c r="F15" s="927"/>
      <c r="G15" s="773">
        <f t="shared" si="0"/>
        <v>0</v>
      </c>
      <c r="H15" s="922">
        <v>0</v>
      </c>
      <c r="I15" s="772"/>
      <c r="J15" s="773">
        <f t="shared" si="1"/>
        <v>0</v>
      </c>
      <c r="K15" s="938"/>
      <c r="L15" s="469" t="s">
        <v>75</v>
      </c>
      <c r="M15" s="469" t="s">
        <v>76</v>
      </c>
    </row>
    <row r="16" spans="1:13" ht="23.25" x14ac:dyDescent="0.25">
      <c r="A16" s="966" t="s">
        <v>176</v>
      </c>
      <c r="B16" s="973" t="s">
        <v>171</v>
      </c>
      <c r="C16" s="974" t="s">
        <v>169</v>
      </c>
      <c r="D16" s="503" t="s">
        <v>765</v>
      </c>
      <c r="E16" s="915"/>
      <c r="F16" s="927"/>
      <c r="G16" s="773">
        <f t="shared" si="0"/>
        <v>0</v>
      </c>
      <c r="H16" s="922"/>
      <c r="I16" s="772">
        <v>0</v>
      </c>
      <c r="J16" s="773">
        <f t="shared" si="1"/>
        <v>0</v>
      </c>
      <c r="K16" s="938"/>
    </row>
    <row r="17" spans="1:12" ht="39.75" customHeight="1" x14ac:dyDescent="0.25">
      <c r="A17" s="966" t="s">
        <v>178</v>
      </c>
      <c r="B17" s="973" t="s">
        <v>174</v>
      </c>
      <c r="C17" s="974" t="s">
        <v>169</v>
      </c>
      <c r="D17" s="503" t="s">
        <v>753</v>
      </c>
      <c r="E17" s="915">
        <v>100</v>
      </c>
      <c r="F17" s="927">
        <f>231+151</f>
        <v>382</v>
      </c>
      <c r="G17" s="1012">
        <f>F17-35-127-34-4+119+32</f>
        <v>333</v>
      </c>
      <c r="H17" s="922">
        <f>1605+100</f>
        <v>1705</v>
      </c>
      <c r="I17" s="772">
        <v>2388</v>
      </c>
      <c r="J17" s="773">
        <f>I17-30-8-24-6+1-16-4-350-67-18-117-31-61-16-17-4-1-60-67+74+20-10-3+2-45-12-12+15</f>
        <v>1521</v>
      </c>
      <c r="K17" s="938"/>
      <c r="L17" s="52"/>
    </row>
    <row r="18" spans="1:12" ht="24" thickBot="1" x14ac:dyDescent="0.3">
      <c r="A18" s="967"/>
      <c r="B18" s="973" t="s">
        <v>177</v>
      </c>
      <c r="C18" s="974" t="s">
        <v>922</v>
      </c>
      <c r="D18" s="503" t="s">
        <v>923</v>
      </c>
      <c r="E18" s="915"/>
      <c r="F18" s="927">
        <v>216</v>
      </c>
      <c r="G18" s="773">
        <f>F18+127+34</f>
        <v>377</v>
      </c>
      <c r="H18" s="922"/>
      <c r="I18" s="772"/>
      <c r="J18" s="773">
        <f t="shared" si="1"/>
        <v>0</v>
      </c>
      <c r="K18" s="938"/>
      <c r="L18" s="52"/>
    </row>
    <row r="19" spans="1:12" ht="23.25" thickBot="1" x14ac:dyDescent="0.3">
      <c r="A19" s="968" t="s">
        <v>180</v>
      </c>
      <c r="B19" s="975" t="s">
        <v>179</v>
      </c>
      <c r="C19" s="976" t="s">
        <v>180</v>
      </c>
      <c r="D19" s="114" t="s">
        <v>182</v>
      </c>
      <c r="E19" s="916">
        <f>SUM(E8:E17)</f>
        <v>1100</v>
      </c>
      <c r="F19" s="928">
        <f>SUM(F8:F18)</f>
        <v>1559</v>
      </c>
      <c r="G19" s="909">
        <f>SUM(G8:G18)</f>
        <v>1716</v>
      </c>
      <c r="H19" s="923">
        <f>SUM(H8:H17)</f>
        <v>8155</v>
      </c>
      <c r="I19" s="908">
        <f>SUM(I8:I17)</f>
        <v>6868</v>
      </c>
      <c r="J19" s="909">
        <f>SUM(J8:J17)</f>
        <v>5286</v>
      </c>
      <c r="K19" s="939"/>
    </row>
    <row r="20" spans="1:12" ht="37.5" customHeight="1" x14ac:dyDescent="0.25">
      <c r="A20" s="969" t="s">
        <v>738</v>
      </c>
      <c r="B20" s="973" t="s">
        <v>181</v>
      </c>
      <c r="C20" s="974" t="s">
        <v>184</v>
      </c>
      <c r="D20" s="503" t="s">
        <v>777</v>
      </c>
      <c r="E20" s="917"/>
      <c r="F20" s="929">
        <v>455</v>
      </c>
      <c r="G20" s="774">
        <f>F20</f>
        <v>455</v>
      </c>
      <c r="H20" s="922">
        <f>192+320+305+532+193+82+120</f>
        <v>1744</v>
      </c>
      <c r="I20" s="524">
        <v>1126</v>
      </c>
      <c r="J20" s="774">
        <f>I20</f>
        <v>1126</v>
      </c>
      <c r="K20" s="940"/>
      <c r="L20" s="469" t="s">
        <v>77</v>
      </c>
    </row>
    <row r="21" spans="1:12" ht="41.25" customHeight="1" x14ac:dyDescent="0.25">
      <c r="A21" s="965" t="s">
        <v>185</v>
      </c>
      <c r="B21" s="973" t="s">
        <v>183</v>
      </c>
      <c r="C21" s="974" t="s">
        <v>184</v>
      </c>
      <c r="D21" s="503" t="s">
        <v>764</v>
      </c>
      <c r="E21" s="915">
        <f>600</f>
        <v>600</v>
      </c>
      <c r="F21" s="929">
        <v>850</v>
      </c>
      <c r="G21" s="774">
        <f>F21+63+100+13</f>
        <v>1026</v>
      </c>
      <c r="H21" s="922">
        <f>91+198+5900+111</f>
        <v>6300</v>
      </c>
      <c r="I21" s="524">
        <v>8179</v>
      </c>
      <c r="J21" s="774">
        <f>I21+40+11+20+5</f>
        <v>8255</v>
      </c>
      <c r="K21" s="940"/>
    </row>
    <row r="22" spans="1:12" ht="23.25" x14ac:dyDescent="0.25">
      <c r="A22" s="965" t="s">
        <v>187</v>
      </c>
      <c r="B22" s="973" t="s">
        <v>186</v>
      </c>
      <c r="C22" s="974" t="s">
        <v>1010</v>
      </c>
      <c r="D22" s="503" t="s">
        <v>138</v>
      </c>
      <c r="E22" s="918">
        <v>600</v>
      </c>
      <c r="F22" s="929">
        <v>631</v>
      </c>
      <c r="G22" s="774">
        <f>F22-56-41</f>
        <v>534</v>
      </c>
      <c r="H22" s="924">
        <f>1400+400</f>
        <v>1800</v>
      </c>
      <c r="I22" s="524">
        <v>1150</v>
      </c>
      <c r="J22" s="774">
        <f t="shared" ref="J22:J23" si="2">I22</f>
        <v>1150</v>
      </c>
      <c r="K22" s="940"/>
    </row>
    <row r="23" spans="1:12" ht="24" thickBot="1" x14ac:dyDescent="0.3">
      <c r="A23" s="970"/>
      <c r="B23" s="973" t="s">
        <v>188</v>
      </c>
      <c r="C23" s="974" t="s">
        <v>189</v>
      </c>
      <c r="D23" s="503" t="s">
        <v>825</v>
      </c>
      <c r="E23" s="918"/>
      <c r="F23" s="929"/>
      <c r="G23" s="774">
        <f t="shared" ref="G23" si="3">F23</f>
        <v>0</v>
      </c>
      <c r="H23" s="924"/>
      <c r="I23" s="524">
        <v>1</v>
      </c>
      <c r="J23" s="774">
        <f t="shared" si="2"/>
        <v>1</v>
      </c>
      <c r="K23" s="940"/>
    </row>
    <row r="24" spans="1:12" ht="23.25" thickBot="1" x14ac:dyDescent="0.3">
      <c r="A24" s="968" t="s">
        <v>190</v>
      </c>
      <c r="B24" s="975" t="s">
        <v>191</v>
      </c>
      <c r="C24" s="976" t="s">
        <v>190</v>
      </c>
      <c r="D24" s="114" t="s">
        <v>192</v>
      </c>
      <c r="E24" s="916">
        <f>SUM(E21:E22)</f>
        <v>1200</v>
      </c>
      <c r="F24" s="928">
        <f>SUM(F20:F23)</f>
        <v>1936</v>
      </c>
      <c r="G24" s="909">
        <f>SUM(G20:G23)</f>
        <v>2015</v>
      </c>
      <c r="H24" s="923">
        <f>SUM(H20:H22)</f>
        <v>9844</v>
      </c>
      <c r="I24" s="908">
        <f>SUM(I20:I23)</f>
        <v>10456</v>
      </c>
      <c r="J24" s="909">
        <f>SUM(J20:J23)</f>
        <v>10532</v>
      </c>
      <c r="K24" s="939"/>
    </row>
    <row r="25" spans="1:12" ht="23.25" x14ac:dyDescent="0.25">
      <c r="A25" s="965" t="s">
        <v>193</v>
      </c>
      <c r="B25" s="977" t="s">
        <v>194</v>
      </c>
      <c r="C25" s="978" t="s">
        <v>195</v>
      </c>
      <c r="D25" s="503" t="s">
        <v>196</v>
      </c>
      <c r="E25" s="915"/>
      <c r="F25" s="929"/>
      <c r="G25" s="774">
        <f>F25</f>
        <v>0</v>
      </c>
      <c r="H25" s="922">
        <v>2000</v>
      </c>
      <c r="I25" s="524">
        <v>2300</v>
      </c>
      <c r="J25" s="774">
        <f>I25-91</f>
        <v>2209</v>
      </c>
      <c r="K25" s="940"/>
    </row>
    <row r="26" spans="1:12" ht="23.25" x14ac:dyDescent="0.25">
      <c r="A26" s="965" t="s">
        <v>197</v>
      </c>
      <c r="B26" s="977" t="s">
        <v>198</v>
      </c>
      <c r="C26" s="978" t="s">
        <v>195</v>
      </c>
      <c r="D26" s="503" t="s">
        <v>199</v>
      </c>
      <c r="E26" s="915"/>
      <c r="F26" s="929"/>
      <c r="G26" s="774">
        <f t="shared" ref="G26:G37" si="4">F26</f>
        <v>0</v>
      </c>
      <c r="H26" s="922">
        <v>4000</v>
      </c>
      <c r="I26" s="524">
        <v>2550</v>
      </c>
      <c r="J26" s="774">
        <f>I26+970+250+700+241</f>
        <v>4711</v>
      </c>
      <c r="K26" s="940"/>
    </row>
    <row r="27" spans="1:12" ht="23.25" x14ac:dyDescent="0.25">
      <c r="A27" s="965" t="s">
        <v>200</v>
      </c>
      <c r="B27" s="977" t="s">
        <v>201</v>
      </c>
      <c r="C27" s="978" t="s">
        <v>195</v>
      </c>
      <c r="D27" s="503" t="s">
        <v>202</v>
      </c>
      <c r="E27" s="915"/>
      <c r="F27" s="929"/>
      <c r="G27" s="774">
        <f t="shared" si="4"/>
        <v>0</v>
      </c>
      <c r="H27" s="922">
        <v>1000</v>
      </c>
      <c r="I27" s="524">
        <v>500</v>
      </c>
      <c r="J27" s="774">
        <f>I27-100</f>
        <v>400</v>
      </c>
      <c r="K27" s="940"/>
    </row>
    <row r="28" spans="1:12" ht="23.25" x14ac:dyDescent="0.25">
      <c r="A28" s="965" t="s">
        <v>204</v>
      </c>
      <c r="B28" s="977" t="s">
        <v>203</v>
      </c>
      <c r="C28" s="978" t="s">
        <v>205</v>
      </c>
      <c r="D28" s="496" t="s">
        <v>921</v>
      </c>
      <c r="E28" s="918">
        <f>425+1000</f>
        <v>1425</v>
      </c>
      <c r="F28" s="929">
        <f>502+653+100</f>
        <v>1255</v>
      </c>
      <c r="G28" s="774">
        <f>F28-63-267-119-32-224</f>
        <v>550</v>
      </c>
      <c r="H28" s="924">
        <v>4000</v>
      </c>
      <c r="I28" s="524">
        <v>2621</v>
      </c>
      <c r="J28" s="774">
        <f>I28+564+152-10-121</f>
        <v>3206</v>
      </c>
      <c r="K28" s="940"/>
    </row>
    <row r="29" spans="1:12" ht="23.25" x14ac:dyDescent="0.25">
      <c r="A29" s="965" t="s">
        <v>754</v>
      </c>
      <c r="B29" s="977" t="s">
        <v>828</v>
      </c>
      <c r="C29" s="974" t="s">
        <v>209</v>
      </c>
      <c r="D29" s="503" t="s">
        <v>62</v>
      </c>
      <c r="E29" s="918">
        <v>1250</v>
      </c>
      <c r="F29" s="929">
        <f>462+703</f>
        <v>1165</v>
      </c>
      <c r="G29" s="774">
        <f>F29+298+171-32</f>
        <v>1602</v>
      </c>
      <c r="H29" s="924">
        <v>1200</v>
      </c>
      <c r="I29" s="524">
        <f>500+1250</f>
        <v>1750</v>
      </c>
      <c r="J29" s="774">
        <f t="shared" ref="J29:J36" si="5">I29</f>
        <v>1750</v>
      </c>
      <c r="K29" s="940"/>
    </row>
    <row r="30" spans="1:12" ht="23.25" x14ac:dyDescent="0.25">
      <c r="A30" s="965" t="s">
        <v>210</v>
      </c>
      <c r="B30" s="977" t="s">
        <v>829</v>
      </c>
      <c r="C30" s="974" t="s">
        <v>212</v>
      </c>
      <c r="D30" s="503" t="s">
        <v>78</v>
      </c>
      <c r="E30" s="918">
        <f>1207+3112+343+420+9918+889+1700+5000+5082</f>
        <v>27671</v>
      </c>
      <c r="F30" s="929">
        <v>10000</v>
      </c>
      <c r="G30" s="774">
        <f>F30-1420-383-2130-575-790-213-1524</f>
        <v>2965</v>
      </c>
      <c r="H30" s="924">
        <v>0</v>
      </c>
      <c r="I30" s="524">
        <v>0</v>
      </c>
      <c r="J30" s="774">
        <f t="shared" si="5"/>
        <v>0</v>
      </c>
      <c r="K30" s="940"/>
    </row>
    <row r="31" spans="1:12" ht="23.25" x14ac:dyDescent="0.25">
      <c r="A31" s="965" t="s">
        <v>213</v>
      </c>
      <c r="B31" s="977" t="s">
        <v>206</v>
      </c>
      <c r="C31" s="974" t="s">
        <v>758</v>
      </c>
      <c r="D31" s="503" t="s">
        <v>215</v>
      </c>
      <c r="E31" s="918">
        <v>3000</v>
      </c>
      <c r="F31" s="929">
        <f>3012+12+47</f>
        <v>3071</v>
      </c>
      <c r="G31" s="774">
        <f>F31+157+21+14</f>
        <v>3263</v>
      </c>
      <c r="H31" s="924">
        <v>250</v>
      </c>
      <c r="I31" s="524">
        <v>523</v>
      </c>
      <c r="J31" s="774">
        <f>I31+8</f>
        <v>531</v>
      </c>
      <c r="K31" s="940"/>
    </row>
    <row r="32" spans="1:12" ht="23.25" x14ac:dyDescent="0.25">
      <c r="A32" s="965" t="s">
        <v>919</v>
      </c>
      <c r="B32" s="977" t="s">
        <v>207</v>
      </c>
      <c r="C32" s="974" t="s">
        <v>918</v>
      </c>
      <c r="D32" s="503" t="s">
        <v>917</v>
      </c>
      <c r="E32" s="918"/>
      <c r="F32" s="929"/>
      <c r="G32" s="774">
        <v>1</v>
      </c>
      <c r="H32" s="924"/>
      <c r="I32" s="524">
        <v>6</v>
      </c>
      <c r="J32" s="774">
        <f t="shared" si="5"/>
        <v>6</v>
      </c>
      <c r="K32" s="940"/>
    </row>
    <row r="33" spans="1:15" ht="23.25" x14ac:dyDescent="0.25">
      <c r="A33" s="966" t="s">
        <v>216</v>
      </c>
      <c r="B33" s="977" t="s">
        <v>208</v>
      </c>
      <c r="C33" s="974" t="s">
        <v>756</v>
      </c>
      <c r="D33" s="103" t="s">
        <v>219</v>
      </c>
      <c r="E33" s="915">
        <v>3700</v>
      </c>
      <c r="F33" s="929">
        <v>3700</v>
      </c>
      <c r="G33" s="774">
        <f>F33+100+44+8</f>
        <v>3852</v>
      </c>
      <c r="H33" s="922">
        <v>7500</v>
      </c>
      <c r="I33" s="524">
        <v>6000</v>
      </c>
      <c r="J33" s="774">
        <f>I33+252-700</f>
        <v>5552</v>
      </c>
      <c r="K33" s="940"/>
    </row>
    <row r="34" spans="1:15" ht="33" x14ac:dyDescent="0.25">
      <c r="A34" s="966" t="s">
        <v>216</v>
      </c>
      <c r="B34" s="977" t="s">
        <v>81</v>
      </c>
      <c r="C34" s="974" t="s">
        <v>757</v>
      </c>
      <c r="D34" s="103" t="s">
        <v>755</v>
      </c>
      <c r="E34" s="915">
        <v>1000</v>
      </c>
      <c r="F34" s="929">
        <f>361+123</f>
        <v>484</v>
      </c>
      <c r="G34" s="774">
        <f>F34+39+11-39-11-1-100-9-5-1</f>
        <v>368</v>
      </c>
      <c r="H34" s="922">
        <v>2000</v>
      </c>
      <c r="I34" s="524">
        <f>1254</f>
        <v>1254</v>
      </c>
      <c r="J34" s="774">
        <f>I34-40-56-130-15+11</f>
        <v>1024</v>
      </c>
      <c r="K34" s="943" t="s">
        <v>1002</v>
      </c>
      <c r="L34" s="470">
        <f>E34+E35+E36+E37</f>
        <v>22374</v>
      </c>
      <c r="M34" s="52" t="s">
        <v>739</v>
      </c>
      <c r="N34" s="469">
        <v>7244</v>
      </c>
      <c r="O34" s="469">
        <f>N34*1.27</f>
        <v>9199.880000000001</v>
      </c>
    </row>
    <row r="35" spans="1:15" ht="33" x14ac:dyDescent="0.25">
      <c r="A35" s="966" t="s">
        <v>216</v>
      </c>
      <c r="B35" s="977" t="s">
        <v>211</v>
      </c>
      <c r="C35" s="974" t="s">
        <v>757</v>
      </c>
      <c r="D35" s="103" t="s">
        <v>776</v>
      </c>
      <c r="E35" s="915">
        <f>254+178+254+600+483+1500+12000+1500</f>
        <v>16769</v>
      </c>
      <c r="F35" s="929">
        <f>3299+7300-1119</f>
        <v>9480</v>
      </c>
      <c r="G35" s="774">
        <f>F35-600-162-303-81-303-82-50-14-215-20-33-33-851-156-611-156-75-20-431</f>
        <v>5284</v>
      </c>
      <c r="H35" s="922">
        <f>5300+180+610+200+1524+186</f>
        <v>8000</v>
      </c>
      <c r="I35" s="524">
        <v>8064</v>
      </c>
      <c r="J35" s="774">
        <f>I35+100+27+645+145-154</f>
        <v>8827</v>
      </c>
      <c r="K35" s="943">
        <v>338</v>
      </c>
      <c r="L35" s="469" t="s">
        <v>69</v>
      </c>
    </row>
    <row r="36" spans="1:15" ht="23.25" x14ac:dyDescent="0.25">
      <c r="A36" s="966" t="s">
        <v>216</v>
      </c>
      <c r="B36" s="977" t="s">
        <v>82</v>
      </c>
      <c r="C36" s="974" t="s">
        <v>757</v>
      </c>
      <c r="D36" s="103" t="s">
        <v>139</v>
      </c>
      <c r="E36" s="915">
        <f>4572+33</f>
        <v>4605</v>
      </c>
      <c r="F36" s="929">
        <v>4590</v>
      </c>
      <c r="G36" s="774">
        <f>F36+400+108</f>
        <v>5098</v>
      </c>
      <c r="H36" s="922">
        <v>0</v>
      </c>
      <c r="I36" s="524"/>
      <c r="J36" s="774">
        <f t="shared" si="5"/>
        <v>0</v>
      </c>
      <c r="K36" s="943">
        <v>339</v>
      </c>
    </row>
    <row r="37" spans="1:15" ht="24" thickBot="1" x14ac:dyDescent="0.3">
      <c r="A37" s="966" t="s">
        <v>216</v>
      </c>
      <c r="B37" s="977" t="s">
        <v>214</v>
      </c>
      <c r="C37" s="974" t="s">
        <v>757</v>
      </c>
      <c r="D37" s="103" t="s">
        <v>223</v>
      </c>
      <c r="E37" s="915">
        <v>0</v>
      </c>
      <c r="F37" s="929">
        <v>0</v>
      </c>
      <c r="G37" s="774">
        <f t="shared" si="4"/>
        <v>0</v>
      </c>
      <c r="H37" s="922">
        <v>500</v>
      </c>
      <c r="I37" s="524">
        <v>286</v>
      </c>
      <c r="J37" s="774">
        <f>I37+143</f>
        <v>429</v>
      </c>
      <c r="K37" s="940"/>
    </row>
    <row r="38" spans="1:15" ht="23.25" thickBot="1" x14ac:dyDescent="0.3">
      <c r="A38" s="968" t="s">
        <v>224</v>
      </c>
      <c r="B38" s="975" t="s">
        <v>217</v>
      </c>
      <c r="C38" s="976" t="s">
        <v>224</v>
      </c>
      <c r="D38" s="114" t="s">
        <v>226</v>
      </c>
      <c r="E38" s="916">
        <f t="shared" ref="E38:J38" si="6">SUM(E25:E37)</f>
        <v>59420</v>
      </c>
      <c r="F38" s="928">
        <f t="shared" si="6"/>
        <v>33745</v>
      </c>
      <c r="G38" s="909">
        <f t="shared" si="6"/>
        <v>22983</v>
      </c>
      <c r="H38" s="923">
        <f t="shared" si="6"/>
        <v>30450</v>
      </c>
      <c r="I38" s="908">
        <f t="shared" si="6"/>
        <v>25854</v>
      </c>
      <c r="J38" s="909">
        <f t="shared" si="6"/>
        <v>28645</v>
      </c>
      <c r="K38" s="939"/>
    </row>
    <row r="39" spans="1:15" ht="23.25" x14ac:dyDescent="0.25">
      <c r="A39" s="965" t="s">
        <v>227</v>
      </c>
      <c r="B39" s="973" t="s">
        <v>218</v>
      </c>
      <c r="C39" s="974" t="s">
        <v>229</v>
      </c>
      <c r="D39" s="496" t="s">
        <v>807</v>
      </c>
      <c r="E39" s="915">
        <v>0</v>
      </c>
      <c r="F39" s="929"/>
      <c r="G39" s="774">
        <f t="shared" ref="G39:G40" si="7">F39</f>
        <v>0</v>
      </c>
      <c r="H39" s="922">
        <v>150</v>
      </c>
      <c r="I39" s="524">
        <v>100</v>
      </c>
      <c r="J39" s="774">
        <f>I39+31</f>
        <v>131</v>
      </c>
      <c r="K39" s="940"/>
    </row>
    <row r="40" spans="1:15" ht="23.25" x14ac:dyDescent="0.25">
      <c r="A40" s="965" t="s">
        <v>230</v>
      </c>
      <c r="B40" s="973" t="s">
        <v>220</v>
      </c>
      <c r="C40" s="974" t="s">
        <v>229</v>
      </c>
      <c r="D40" s="496" t="s">
        <v>808</v>
      </c>
      <c r="E40" s="915">
        <v>0</v>
      </c>
      <c r="F40" s="929"/>
      <c r="G40" s="774">
        <f t="shared" si="7"/>
        <v>0</v>
      </c>
      <c r="H40" s="922">
        <v>100</v>
      </c>
      <c r="I40" s="524">
        <v>0</v>
      </c>
      <c r="J40" s="774">
        <f t="shared" ref="J40:J41" si="8">I40</f>
        <v>0</v>
      </c>
      <c r="K40" s="940"/>
    </row>
    <row r="41" spans="1:15" ht="33.75" thickBot="1" x14ac:dyDescent="0.3">
      <c r="A41" s="965" t="s">
        <v>232</v>
      </c>
      <c r="B41" s="973" t="s">
        <v>221</v>
      </c>
      <c r="C41" s="974" t="s">
        <v>234</v>
      </c>
      <c r="D41" s="496" t="s">
        <v>759</v>
      </c>
      <c r="E41" s="915">
        <f>5000</f>
        <v>5000</v>
      </c>
      <c r="F41" s="929">
        <v>4819</v>
      </c>
      <c r="G41" s="774">
        <f>F41+316+86-1</f>
        <v>5220</v>
      </c>
      <c r="H41" s="922"/>
      <c r="I41" s="524"/>
      <c r="J41" s="774">
        <f t="shared" si="8"/>
        <v>0</v>
      </c>
      <c r="K41" s="940"/>
    </row>
    <row r="42" spans="1:15" ht="23.25" thickBot="1" x14ac:dyDescent="0.3">
      <c r="A42" s="968" t="s">
        <v>235</v>
      </c>
      <c r="B42" s="975" t="s">
        <v>222</v>
      </c>
      <c r="C42" s="976" t="s">
        <v>235</v>
      </c>
      <c r="D42" s="114" t="s">
        <v>237</v>
      </c>
      <c r="E42" s="916">
        <f t="shared" ref="E42:H42" si="9">SUM(E39:E41)</f>
        <v>5000</v>
      </c>
      <c r="F42" s="928">
        <f>SUM(F39:F41)</f>
        <v>4819</v>
      </c>
      <c r="G42" s="909">
        <f>SUM(G39:G41)</f>
        <v>5220</v>
      </c>
      <c r="H42" s="923">
        <f t="shared" si="9"/>
        <v>250</v>
      </c>
      <c r="I42" s="908">
        <f>SUM(I39:I41)</f>
        <v>100</v>
      </c>
      <c r="J42" s="909">
        <f>SUM(J39:J41)</f>
        <v>131</v>
      </c>
      <c r="K42" s="939"/>
    </row>
    <row r="43" spans="1:15" ht="23.25" x14ac:dyDescent="0.25">
      <c r="A43" s="965" t="s">
        <v>238</v>
      </c>
      <c r="B43" s="973" t="s">
        <v>225</v>
      </c>
      <c r="C43" s="974" t="s">
        <v>240</v>
      </c>
      <c r="D43" s="103" t="s">
        <v>810</v>
      </c>
      <c r="E43" s="918">
        <v>270</v>
      </c>
      <c r="F43" s="930">
        <f>400</f>
        <v>400</v>
      </c>
      <c r="G43" s="775">
        <f>F43-9+4+9+31+6+164+331-544-1+9</f>
        <v>400</v>
      </c>
      <c r="H43" s="924"/>
      <c r="I43" s="525"/>
      <c r="J43" s="775">
        <f>I43</f>
        <v>0</v>
      </c>
      <c r="K43" s="941"/>
    </row>
    <row r="44" spans="1:15" ht="23.25" x14ac:dyDescent="0.25">
      <c r="A44" s="965" t="s">
        <v>83</v>
      </c>
      <c r="B44" s="973" t="s">
        <v>228</v>
      </c>
      <c r="C44" s="974" t="s">
        <v>240</v>
      </c>
      <c r="D44" s="103" t="s">
        <v>79</v>
      </c>
      <c r="E44" s="918">
        <v>0</v>
      </c>
      <c r="F44" s="930"/>
      <c r="G44" s="775">
        <f>F44+15+18+10+5+22+15+4+4+8+3+1+4</f>
        <v>109</v>
      </c>
      <c r="H44" s="924">
        <v>0</v>
      </c>
      <c r="I44" s="525"/>
      <c r="J44" s="775">
        <f>I44+22+1+62</f>
        <v>85</v>
      </c>
      <c r="K44" s="941"/>
    </row>
    <row r="45" spans="1:15" ht="23.25" x14ac:dyDescent="0.25">
      <c r="A45" s="965" t="s">
        <v>241</v>
      </c>
      <c r="B45" s="973" t="s">
        <v>231</v>
      </c>
      <c r="C45" s="974" t="s">
        <v>240</v>
      </c>
      <c r="D45" s="103" t="s">
        <v>242</v>
      </c>
      <c r="E45" s="918">
        <v>290.39999999999998</v>
      </c>
      <c r="F45" s="930">
        <v>254</v>
      </c>
      <c r="G45" s="775">
        <f t="shared" ref="G45:G53" si="10">F45</f>
        <v>254</v>
      </c>
      <c r="H45" s="924"/>
      <c r="I45" s="525"/>
      <c r="J45" s="775">
        <f t="shared" ref="J45:J53" si="11">I45</f>
        <v>0</v>
      </c>
      <c r="K45" s="941">
        <v>3532</v>
      </c>
    </row>
    <row r="46" spans="1:15" ht="23.25" x14ac:dyDescent="0.25">
      <c r="A46" s="965"/>
      <c r="B46" s="973" t="s">
        <v>233</v>
      </c>
      <c r="C46" s="974" t="s">
        <v>240</v>
      </c>
      <c r="D46" s="103" t="s">
        <v>1019</v>
      </c>
      <c r="E46" s="918"/>
      <c r="F46" s="930"/>
      <c r="G46" s="775">
        <v>85</v>
      </c>
      <c r="H46" s="924"/>
      <c r="I46" s="525"/>
      <c r="J46" s="775"/>
      <c r="K46" s="941"/>
    </row>
    <row r="47" spans="1:15" ht="23.25" x14ac:dyDescent="0.25">
      <c r="A47" s="965" t="s">
        <v>243</v>
      </c>
      <c r="B47" s="973" t="s">
        <v>236</v>
      </c>
      <c r="C47" s="974" t="s">
        <v>240</v>
      </c>
      <c r="D47" s="103" t="s">
        <v>244</v>
      </c>
      <c r="E47" s="915">
        <v>200</v>
      </c>
      <c r="F47" s="930">
        <v>202</v>
      </c>
      <c r="G47" s="775">
        <f>F47-1</f>
        <v>201</v>
      </c>
      <c r="H47" s="922"/>
      <c r="I47" s="525"/>
      <c r="J47" s="775">
        <f t="shared" si="11"/>
        <v>0</v>
      </c>
      <c r="K47" s="941"/>
    </row>
    <row r="48" spans="1:15" ht="23.25" x14ac:dyDescent="0.25">
      <c r="A48" s="965" t="s">
        <v>832</v>
      </c>
      <c r="B48" s="973" t="s">
        <v>239</v>
      </c>
      <c r="C48" s="974" t="s">
        <v>831</v>
      </c>
      <c r="D48" s="103" t="s">
        <v>830</v>
      </c>
      <c r="E48" s="915"/>
      <c r="F48" s="930"/>
      <c r="G48" s="775">
        <f t="shared" si="10"/>
        <v>0</v>
      </c>
      <c r="H48" s="922"/>
      <c r="I48" s="525"/>
      <c r="J48" s="775">
        <f t="shared" si="11"/>
        <v>0</v>
      </c>
      <c r="K48" s="941"/>
    </row>
    <row r="49" spans="1:11" ht="23.25" x14ac:dyDescent="0.25">
      <c r="A49" s="965" t="s">
        <v>854</v>
      </c>
      <c r="B49" s="973" t="s">
        <v>847</v>
      </c>
      <c r="C49" s="974" t="s">
        <v>831</v>
      </c>
      <c r="D49" s="103" t="s">
        <v>856</v>
      </c>
      <c r="E49" s="915"/>
      <c r="F49" s="930"/>
      <c r="G49" s="775">
        <f>1+4+1+4+10+5</f>
        <v>25</v>
      </c>
      <c r="H49" s="922"/>
      <c r="I49" s="525">
        <v>5</v>
      </c>
      <c r="J49" s="775">
        <f t="shared" si="11"/>
        <v>5</v>
      </c>
      <c r="K49" s="941"/>
    </row>
    <row r="50" spans="1:11" s="497" customFormat="1" ht="33" x14ac:dyDescent="0.2">
      <c r="A50" s="965" t="s">
        <v>245</v>
      </c>
      <c r="B50" s="973" t="s">
        <v>848</v>
      </c>
      <c r="C50" s="974" t="s">
        <v>246</v>
      </c>
      <c r="D50" s="496" t="s">
        <v>792</v>
      </c>
      <c r="E50" s="915">
        <v>12500</v>
      </c>
      <c r="F50" s="930">
        <f>9495+20</f>
        <v>9515</v>
      </c>
      <c r="G50" s="775">
        <f>F50-2-124+2000-4-100-14-2000</f>
        <v>9271</v>
      </c>
      <c r="H50" s="922">
        <v>700</v>
      </c>
      <c r="I50" s="525">
        <v>343</v>
      </c>
      <c r="J50" s="775">
        <f>I50+100+60+10+25</f>
        <v>538</v>
      </c>
      <c r="K50" s="941">
        <v>355</v>
      </c>
    </row>
    <row r="51" spans="1:11" s="497" customFormat="1" ht="23.25" x14ac:dyDescent="0.2">
      <c r="A51" s="965"/>
      <c r="B51" s="973" t="s">
        <v>849</v>
      </c>
      <c r="C51" s="974" t="s">
        <v>246</v>
      </c>
      <c r="D51" s="496" t="s">
        <v>853</v>
      </c>
      <c r="E51" s="915"/>
      <c r="F51" s="930"/>
      <c r="G51" s="775">
        <f>1+4+2000</f>
        <v>2005</v>
      </c>
      <c r="H51" s="922"/>
      <c r="I51" s="525"/>
      <c r="J51" s="775">
        <f>I51+45</f>
        <v>45</v>
      </c>
      <c r="K51" s="941"/>
    </row>
    <row r="52" spans="1:11" s="497" customFormat="1" ht="23.25" x14ac:dyDescent="0.2">
      <c r="A52" s="965"/>
      <c r="B52" s="973" t="s">
        <v>855</v>
      </c>
      <c r="C52" s="974" t="s">
        <v>246</v>
      </c>
      <c r="D52" s="496" t="s">
        <v>844</v>
      </c>
      <c r="E52" s="915"/>
      <c r="F52" s="930"/>
      <c r="G52" s="775">
        <f t="shared" si="10"/>
        <v>0</v>
      </c>
      <c r="H52" s="922"/>
      <c r="I52" s="525"/>
      <c r="J52" s="775">
        <f t="shared" si="11"/>
        <v>0</v>
      </c>
      <c r="K52" s="941"/>
    </row>
    <row r="53" spans="1:11" ht="24" thickBot="1" x14ac:dyDescent="0.3">
      <c r="A53" s="965" t="s">
        <v>247</v>
      </c>
      <c r="B53" s="973" t="s">
        <v>876</v>
      </c>
      <c r="C53" s="974" t="s">
        <v>246</v>
      </c>
      <c r="D53" s="503" t="s">
        <v>248</v>
      </c>
      <c r="E53" s="918">
        <v>200</v>
      </c>
      <c r="F53" s="930">
        <v>50</v>
      </c>
      <c r="G53" s="775">
        <f t="shared" si="10"/>
        <v>50</v>
      </c>
      <c r="H53" s="924">
        <v>1950</v>
      </c>
      <c r="I53" s="525">
        <v>2700</v>
      </c>
      <c r="J53" s="775">
        <f t="shared" si="11"/>
        <v>2700</v>
      </c>
      <c r="K53" s="941"/>
    </row>
    <row r="54" spans="1:11" ht="23.25" thickBot="1" x14ac:dyDescent="0.3">
      <c r="A54" s="968" t="s">
        <v>249</v>
      </c>
      <c r="B54" s="975" t="s">
        <v>997</v>
      </c>
      <c r="C54" s="976" t="s">
        <v>249</v>
      </c>
      <c r="D54" s="114" t="s">
        <v>250</v>
      </c>
      <c r="E54" s="916">
        <f t="shared" ref="E54:H54" si="12">SUM(E43:E53)</f>
        <v>13460.4</v>
      </c>
      <c r="F54" s="928">
        <f>SUM(F43:F53)</f>
        <v>10421</v>
      </c>
      <c r="G54" s="909">
        <f>SUM(G43:G53)</f>
        <v>12400</v>
      </c>
      <c r="H54" s="923">
        <f t="shared" si="12"/>
        <v>2650</v>
      </c>
      <c r="I54" s="908">
        <f>SUM(I43:I53)</f>
        <v>3048</v>
      </c>
      <c r="J54" s="909">
        <f>SUM(J43:J53)</f>
        <v>3373</v>
      </c>
      <c r="K54" s="939"/>
    </row>
    <row r="55" spans="1:11" ht="23.25" thickBot="1" x14ac:dyDescent="0.3">
      <c r="A55" s="971" t="s">
        <v>292</v>
      </c>
      <c r="B55" s="979" t="s">
        <v>1028</v>
      </c>
      <c r="C55" s="980" t="s">
        <v>292</v>
      </c>
      <c r="D55" s="910" t="s">
        <v>293</v>
      </c>
      <c r="E55" s="919">
        <f t="shared" ref="E55:J55" si="13">E54+E42+E38+E24+E19</f>
        <v>80180.399999999994</v>
      </c>
      <c r="F55" s="931">
        <f t="shared" si="13"/>
        <v>52480</v>
      </c>
      <c r="G55" s="912">
        <f t="shared" si="13"/>
        <v>44334</v>
      </c>
      <c r="H55" s="925">
        <f t="shared" si="13"/>
        <v>51349</v>
      </c>
      <c r="I55" s="911">
        <f t="shared" si="13"/>
        <v>46326</v>
      </c>
      <c r="J55" s="912">
        <f t="shared" si="13"/>
        <v>47967</v>
      </c>
      <c r="K55" s="942"/>
    </row>
    <row r="56" spans="1:11" x14ac:dyDescent="0.25">
      <c r="E56" s="504"/>
      <c r="F56" s="504"/>
      <c r="G56" s="504"/>
    </row>
    <row r="57" spans="1:11" x14ac:dyDescent="0.25">
      <c r="E57" s="504"/>
      <c r="F57" s="504"/>
      <c r="G57" s="504"/>
      <c r="I57" s="497">
        <v>51349</v>
      </c>
    </row>
  </sheetData>
  <mergeCells count="3">
    <mergeCell ref="A1:J1"/>
    <mergeCell ref="A2:J2"/>
    <mergeCell ref="A3:J3"/>
  </mergeCells>
  <printOptions horizontalCentered="1"/>
  <pageMargins left="0" right="0" top="7.874015748031496E-2" bottom="7.874015748031496E-2" header="0.51181102362204722" footer="0.51181102362204722"/>
  <pageSetup paperSize="9" scale="58"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Munka23">
    <tabColor theme="3" tint="-0.249977111117893"/>
    <pageSetUpPr fitToPage="1"/>
  </sheetPr>
  <dimension ref="A1:M33"/>
  <sheetViews>
    <sheetView view="pageBreakPreview" zoomScale="90" zoomScaleSheetLayoutView="90" workbookViewId="0">
      <selection activeCell="A2" sqref="A2:O2"/>
    </sheetView>
  </sheetViews>
  <sheetFormatPr defaultRowHeight="15" x14ac:dyDescent="0.25"/>
  <cols>
    <col min="1" max="1" width="9.140625" style="52"/>
    <col min="2" max="2" width="12" style="51" customWidth="1"/>
    <col min="3" max="3" width="117.140625" style="51" customWidth="1"/>
    <col min="4" max="4" width="17.28515625" style="51" hidden="1" customWidth="1"/>
    <col min="5" max="8" width="17.28515625" style="665" customWidth="1"/>
    <col min="9" max="9" width="19" style="51" hidden="1" customWidth="1"/>
    <col min="10" max="13" width="16.7109375" style="665" customWidth="1"/>
    <col min="14" max="16384" width="9.140625" style="51"/>
  </cols>
  <sheetData>
    <row r="1" spans="1:13" ht="18.75" x14ac:dyDescent="0.3">
      <c r="A1" s="2510" t="str">
        <f>Tartalomjegyzék_2017!A1</f>
        <v>Pilisvörösvár Város Önkormányzata Képviselő-testületének 7/2018. (IV. 27.) önkormányzati rendelete</v>
      </c>
      <c r="B1" s="2510"/>
      <c r="C1" s="2510"/>
      <c r="D1" s="2510"/>
      <c r="E1" s="2510"/>
      <c r="F1" s="2510"/>
      <c r="G1" s="2510"/>
      <c r="H1" s="2510"/>
      <c r="I1" s="2504"/>
      <c r="J1" s="2504"/>
      <c r="K1" s="2504"/>
      <c r="L1" s="2504"/>
      <c r="M1" s="2504"/>
    </row>
    <row r="2" spans="1:13" ht="18.75" x14ac:dyDescent="0.3">
      <c r="A2" s="2510" t="str">
        <f>'19. Dologi kiad.igazg. (K3)'!A2:H2</f>
        <v>az Önkormányzat  2017. évi zárszámadásáról</v>
      </c>
      <c r="B2" s="2510"/>
      <c r="C2" s="2510"/>
      <c r="D2" s="2510"/>
      <c r="E2" s="2510"/>
      <c r="F2" s="2510"/>
      <c r="G2" s="2510"/>
      <c r="H2" s="2510"/>
      <c r="I2" s="2504"/>
      <c r="J2" s="2504"/>
      <c r="K2" s="2504"/>
      <c r="L2" s="2504"/>
      <c r="M2" s="2504"/>
    </row>
    <row r="3" spans="1:13" ht="18.75" x14ac:dyDescent="0.3">
      <c r="A3" s="2510" t="str">
        <f>Tartalomjegyzék_2017!B24</f>
        <v>Pilisvörösvár Város Önkormányzata ellátottak pénzbeli juttatásai, szociális és gyermekjóléti pénzbeli és természetbeni juttatások előirányzata</v>
      </c>
      <c r="B3" s="2510"/>
      <c r="C3" s="2510"/>
      <c r="D3" s="2510"/>
      <c r="E3" s="2510"/>
      <c r="F3" s="2510"/>
      <c r="G3" s="2510"/>
      <c r="H3" s="2510"/>
      <c r="I3" s="2504"/>
      <c r="J3" s="2504"/>
      <c r="K3" s="2504"/>
      <c r="L3" s="2504"/>
      <c r="M3" s="2504"/>
    </row>
    <row r="4" spans="1:13" ht="18.75" x14ac:dyDescent="0.3">
      <c r="A4" s="595"/>
      <c r="B4" s="595"/>
      <c r="C4" s="595"/>
      <c r="D4" s="595"/>
      <c r="E4" s="663"/>
      <c r="F4" s="663"/>
      <c r="G4" s="663"/>
      <c r="H4" s="663"/>
      <c r="I4" s="591"/>
      <c r="L4" s="785"/>
      <c r="M4" s="785" t="s">
        <v>1122</v>
      </c>
    </row>
    <row r="5" spans="1:13" ht="18.75" x14ac:dyDescent="0.25">
      <c r="A5" s="3"/>
      <c r="B5" s="129"/>
      <c r="C5" s="129"/>
      <c r="D5" s="129"/>
      <c r="E5" s="664"/>
      <c r="F5" s="664"/>
      <c r="G5" s="664"/>
      <c r="H5" s="664"/>
      <c r="L5" s="262"/>
      <c r="M5" s="262"/>
    </row>
    <row r="6" spans="1:13" ht="21" thickBot="1" x14ac:dyDescent="0.35">
      <c r="L6" s="786"/>
      <c r="M6" s="786" t="s">
        <v>323</v>
      </c>
    </row>
    <row r="7" spans="1:13" s="54" customFormat="1" ht="88.5" customHeight="1" thickBot="1" x14ac:dyDescent="0.25">
      <c r="A7" s="130" t="s">
        <v>60</v>
      </c>
      <c r="B7" s="776" t="s">
        <v>158</v>
      </c>
      <c r="C7" s="776" t="s">
        <v>253</v>
      </c>
      <c r="D7" s="1078" t="s">
        <v>632</v>
      </c>
      <c r="E7" s="1085" t="str">
        <f>'19. Dologi kiad.igazg. (K3)'!F7</f>
        <v>Önkormányzat 2017. évi eredeti előirányzat</v>
      </c>
      <c r="F7" s="777" t="str">
        <f>'19. Dologi kiad.igazg. (K3)'!G7</f>
        <v>Önkormányzat 2017. évi módosított előirányzat 2017.12.31</v>
      </c>
      <c r="G7" s="777" t="str">
        <f>'16. Dologi kiadások cofog(K3)'!G8</f>
        <v>Önkormányzat 2017. évi Teljesítés 2017.12.31</v>
      </c>
      <c r="H7" s="995" t="str">
        <f>'16. Dologi kiadások cofog(K3)'!H8</f>
        <v>Teljesítés %-ban</v>
      </c>
      <c r="I7" s="1092" t="str">
        <f>'16. Dologi kiadások cofog(K3)'!I8</f>
        <v>Polgármesteri Hivatal 2016. évi eredeti előirányzat</v>
      </c>
      <c r="J7" s="1085" t="str">
        <f>'19. Dologi kiad.igazg. (K3)'!I7</f>
        <v>Polgármesteri Hivatal 2017. évi eredeti előirányzat</v>
      </c>
      <c r="K7" s="777" t="str">
        <f>'19. Dologi kiad.igazg. (K3)'!J7</f>
        <v>Polgármesteri Hivatal 2017. évi módosított előirányzat 2017.12.31.</v>
      </c>
      <c r="L7" s="777" t="str">
        <f>'16. Dologi kiadások cofog(K3)'!L8</f>
        <v>Polgármesteri Hivatal  2017. évi Teljesítés 2017.12.31</v>
      </c>
      <c r="M7" s="995" t="str">
        <f>'16. Dologi kiadások cofog(K3)'!M8</f>
        <v>Teljesítés %-ban</v>
      </c>
    </row>
    <row r="8" spans="1:13" ht="18.75" customHeight="1" thickBot="1" x14ac:dyDescent="0.35">
      <c r="A8" s="829">
        <v>1</v>
      </c>
      <c r="B8" s="778" t="s">
        <v>254</v>
      </c>
      <c r="C8" s="280" t="s">
        <v>255</v>
      </c>
      <c r="D8" s="1079">
        <v>0</v>
      </c>
      <c r="E8" s="1086">
        <f>D8</f>
        <v>0</v>
      </c>
      <c r="F8" s="526">
        <f>E8</f>
        <v>0</v>
      </c>
      <c r="G8" s="526">
        <v>0</v>
      </c>
      <c r="H8" s="996"/>
      <c r="I8" s="1093">
        <v>0</v>
      </c>
      <c r="J8" s="1086">
        <v>0</v>
      </c>
      <c r="K8" s="526">
        <f>J8</f>
        <v>0</v>
      </c>
      <c r="L8" s="526"/>
      <c r="M8" s="996"/>
    </row>
    <row r="9" spans="1:13" ht="18.75" customHeight="1" x14ac:dyDescent="0.3">
      <c r="A9" s="830">
        <v>2</v>
      </c>
      <c r="B9" s="779" t="s">
        <v>256</v>
      </c>
      <c r="C9" s="780" t="s">
        <v>257</v>
      </c>
      <c r="D9" s="1080">
        <v>0</v>
      </c>
      <c r="E9" s="1087">
        <f>D9</f>
        <v>0</v>
      </c>
      <c r="F9" s="527">
        <f t="shared" ref="F9:G23" si="0">E9</f>
        <v>0</v>
      </c>
      <c r="G9" s="527">
        <v>0</v>
      </c>
      <c r="H9" s="997"/>
      <c r="I9" s="1094">
        <v>4500</v>
      </c>
      <c r="J9" s="1087">
        <v>3500</v>
      </c>
      <c r="K9" s="527">
        <f>J9</f>
        <v>3500</v>
      </c>
      <c r="L9" s="527">
        <v>2682</v>
      </c>
      <c r="M9" s="1157">
        <f>L9/K9%</f>
        <v>76.628571428571433</v>
      </c>
    </row>
    <row r="10" spans="1:13" ht="18.75" customHeight="1" x14ac:dyDescent="0.3">
      <c r="A10" s="831">
        <v>3</v>
      </c>
      <c r="B10" s="781" t="s">
        <v>256</v>
      </c>
      <c r="C10" s="782" t="s">
        <v>258</v>
      </c>
      <c r="D10" s="1081">
        <v>0</v>
      </c>
      <c r="E10" s="1087">
        <f t="shared" ref="E10" si="1">D10</f>
        <v>0</v>
      </c>
      <c r="F10" s="527">
        <f t="shared" si="0"/>
        <v>0</v>
      </c>
      <c r="G10" s="527">
        <v>0</v>
      </c>
      <c r="H10" s="997"/>
      <c r="I10" s="1095">
        <v>400</v>
      </c>
      <c r="J10" s="1087">
        <v>300</v>
      </c>
      <c r="K10" s="527">
        <f>J10+55</f>
        <v>355</v>
      </c>
      <c r="L10" s="527">
        <v>355</v>
      </c>
      <c r="M10" s="1157">
        <f t="shared" ref="M10" si="2">L10/K10%</f>
        <v>100</v>
      </c>
    </row>
    <row r="11" spans="1:13" ht="18.75" customHeight="1" thickBot="1" x14ac:dyDescent="0.35">
      <c r="A11" s="831">
        <v>4</v>
      </c>
      <c r="B11" s="781" t="s">
        <v>256</v>
      </c>
      <c r="C11" s="783" t="s">
        <v>259</v>
      </c>
      <c r="D11" s="1081">
        <v>4500</v>
      </c>
      <c r="E11" s="1087">
        <v>4500</v>
      </c>
      <c r="F11" s="527">
        <f>E11-4500</f>
        <v>0</v>
      </c>
      <c r="G11" s="527">
        <v>0</v>
      </c>
      <c r="H11" s="997"/>
      <c r="I11" s="1095">
        <v>0</v>
      </c>
      <c r="J11" s="1087"/>
      <c r="K11" s="527">
        <f t="shared" ref="K11:L20" si="3">J11</f>
        <v>0</v>
      </c>
      <c r="L11" s="527"/>
      <c r="M11" s="1157"/>
    </row>
    <row r="12" spans="1:13" s="55" customFormat="1" ht="18.75" customHeight="1" thickBot="1" x14ac:dyDescent="0.35">
      <c r="A12" s="829">
        <v>5</v>
      </c>
      <c r="B12" s="778" t="s">
        <v>256</v>
      </c>
      <c r="C12" s="280" t="s">
        <v>260</v>
      </c>
      <c r="D12" s="1079">
        <f t="shared" ref="D12:K12" si="4">SUM(D9:D11)</f>
        <v>4500</v>
      </c>
      <c r="E12" s="1086">
        <f t="shared" si="4"/>
        <v>4500</v>
      </c>
      <c r="F12" s="526">
        <f t="shared" si="4"/>
        <v>0</v>
      </c>
      <c r="G12" s="526">
        <f>SUM(G9:G11)</f>
        <v>0</v>
      </c>
      <c r="H12" s="996"/>
      <c r="I12" s="1093">
        <f t="shared" si="4"/>
        <v>4900</v>
      </c>
      <c r="J12" s="1086">
        <f t="shared" si="4"/>
        <v>3800</v>
      </c>
      <c r="K12" s="526">
        <f t="shared" si="4"/>
        <v>3855</v>
      </c>
      <c r="L12" s="526">
        <f t="shared" ref="L12" si="5">SUM(L9:L11)</f>
        <v>3037</v>
      </c>
      <c r="M12" s="1158">
        <f>L12/K12%</f>
        <v>78.78080415045396</v>
      </c>
    </row>
    <row r="13" spans="1:13" s="55" customFormat="1" ht="18.75" customHeight="1" thickBot="1" x14ac:dyDescent="0.35">
      <c r="A13" s="829">
        <v>6</v>
      </c>
      <c r="B13" s="778" t="s">
        <v>261</v>
      </c>
      <c r="C13" s="280" t="s">
        <v>262</v>
      </c>
      <c r="D13" s="1079">
        <v>0</v>
      </c>
      <c r="E13" s="1086">
        <v>0</v>
      </c>
      <c r="F13" s="526">
        <f t="shared" si="0"/>
        <v>0</v>
      </c>
      <c r="G13" s="526">
        <f t="shared" si="0"/>
        <v>0</v>
      </c>
      <c r="H13" s="996"/>
      <c r="I13" s="1093"/>
      <c r="J13" s="1086"/>
      <c r="K13" s="526">
        <f t="shared" si="3"/>
        <v>0</v>
      </c>
      <c r="L13" s="526">
        <f t="shared" si="3"/>
        <v>0</v>
      </c>
      <c r="M13" s="996"/>
    </row>
    <row r="14" spans="1:13" s="55" customFormat="1" ht="18.75" customHeight="1" thickBot="1" x14ac:dyDescent="0.35">
      <c r="A14" s="829">
        <v>7</v>
      </c>
      <c r="B14" s="778" t="s">
        <v>263</v>
      </c>
      <c r="C14" s="280" t="s">
        <v>740</v>
      </c>
      <c r="D14" s="1079">
        <v>0</v>
      </c>
      <c r="E14" s="1086">
        <v>0</v>
      </c>
      <c r="F14" s="526">
        <f t="shared" si="0"/>
        <v>0</v>
      </c>
      <c r="G14" s="526">
        <f t="shared" si="0"/>
        <v>0</v>
      </c>
      <c r="H14" s="996"/>
      <c r="I14" s="1093">
        <v>0</v>
      </c>
      <c r="J14" s="1086">
        <v>0</v>
      </c>
      <c r="K14" s="526">
        <f t="shared" si="3"/>
        <v>0</v>
      </c>
      <c r="L14" s="526">
        <f t="shared" si="3"/>
        <v>0</v>
      </c>
      <c r="M14" s="996"/>
    </row>
    <row r="15" spans="1:13" s="55" customFormat="1" ht="18.75" customHeight="1" thickBot="1" x14ac:dyDescent="0.35">
      <c r="A15" s="829">
        <v>8</v>
      </c>
      <c r="B15" s="778" t="s">
        <v>264</v>
      </c>
      <c r="C15" s="280" t="s">
        <v>741</v>
      </c>
      <c r="D15" s="1079">
        <v>216</v>
      </c>
      <c r="E15" s="1086">
        <f>216-216</f>
        <v>0</v>
      </c>
      <c r="F15" s="526">
        <f t="shared" si="0"/>
        <v>0</v>
      </c>
      <c r="G15" s="526">
        <f t="shared" si="0"/>
        <v>0</v>
      </c>
      <c r="H15" s="996"/>
      <c r="I15" s="1093">
        <v>0</v>
      </c>
      <c r="J15" s="1086">
        <v>0</v>
      </c>
      <c r="K15" s="526">
        <f t="shared" si="3"/>
        <v>0</v>
      </c>
      <c r="L15" s="526">
        <f t="shared" si="3"/>
        <v>0</v>
      </c>
      <c r="M15" s="996"/>
    </row>
    <row r="16" spans="1:13" s="55" customFormat="1" ht="18.75" customHeight="1" x14ac:dyDescent="0.3">
      <c r="A16" s="1028">
        <v>9</v>
      </c>
      <c r="B16" s="1029" t="s">
        <v>265</v>
      </c>
      <c r="C16" s="1030" t="s">
        <v>266</v>
      </c>
      <c r="D16" s="1082">
        <v>0</v>
      </c>
      <c r="E16" s="1088">
        <v>0</v>
      </c>
      <c r="F16" s="1031">
        <f t="shared" si="0"/>
        <v>0</v>
      </c>
      <c r="G16" s="1031">
        <f t="shared" si="0"/>
        <v>0</v>
      </c>
      <c r="H16" s="1032"/>
      <c r="I16" s="1096">
        <v>0</v>
      </c>
      <c r="J16" s="1088">
        <v>0</v>
      </c>
      <c r="K16" s="1031">
        <f t="shared" si="3"/>
        <v>0</v>
      </c>
      <c r="L16" s="1031">
        <f t="shared" si="3"/>
        <v>0</v>
      </c>
      <c r="M16" s="1032"/>
    </row>
    <row r="17" spans="1:13" ht="18.75" customHeight="1" x14ac:dyDescent="0.3">
      <c r="A17" s="1076">
        <v>10</v>
      </c>
      <c r="B17" s="1038" t="s">
        <v>267</v>
      </c>
      <c r="C17" s="782" t="s">
        <v>117</v>
      </c>
      <c r="D17" s="1081">
        <v>355</v>
      </c>
      <c r="E17" s="1089">
        <v>350</v>
      </c>
      <c r="F17" s="1040">
        <f t="shared" si="0"/>
        <v>350</v>
      </c>
      <c r="G17" s="1040">
        <v>280</v>
      </c>
      <c r="H17" s="1154">
        <f>G17/F17%</f>
        <v>80</v>
      </c>
      <c r="I17" s="1095">
        <v>0</v>
      </c>
      <c r="J17" s="1089">
        <f t="shared" ref="J17:J20" si="6">I17</f>
        <v>0</v>
      </c>
      <c r="K17" s="528">
        <f t="shared" si="3"/>
        <v>0</v>
      </c>
      <c r="L17" s="528">
        <f t="shared" si="3"/>
        <v>0</v>
      </c>
      <c r="M17" s="1077"/>
    </row>
    <row r="18" spans="1:13" ht="18.75" customHeight="1" x14ac:dyDescent="0.3">
      <c r="A18" s="1076">
        <v>11</v>
      </c>
      <c r="B18" s="1038" t="s">
        <v>267</v>
      </c>
      <c r="C18" s="782" t="s">
        <v>268</v>
      </c>
      <c r="D18" s="1081">
        <v>700</v>
      </c>
      <c r="E18" s="1089">
        <v>1500</v>
      </c>
      <c r="F18" s="1040">
        <f t="shared" si="0"/>
        <v>1500</v>
      </c>
      <c r="G18" s="1040">
        <v>975</v>
      </c>
      <c r="H18" s="1154">
        <f t="shared" ref="H18:H27" si="7">G18/F18%</f>
        <v>65</v>
      </c>
      <c r="I18" s="1095">
        <v>0</v>
      </c>
      <c r="J18" s="1089">
        <f t="shared" si="6"/>
        <v>0</v>
      </c>
      <c r="K18" s="528">
        <f t="shared" si="3"/>
        <v>0</v>
      </c>
      <c r="L18" s="528">
        <f t="shared" si="3"/>
        <v>0</v>
      </c>
      <c r="M18" s="1077"/>
    </row>
    <row r="19" spans="1:13" ht="18.75" customHeight="1" x14ac:dyDescent="0.3">
      <c r="A19" s="1076">
        <v>12</v>
      </c>
      <c r="B19" s="1038" t="s">
        <v>267</v>
      </c>
      <c r="C19" s="782" t="s">
        <v>118</v>
      </c>
      <c r="D19" s="1081">
        <v>5000</v>
      </c>
      <c r="E19" s="1089">
        <v>4500</v>
      </c>
      <c r="F19" s="1040">
        <f t="shared" si="0"/>
        <v>4500</v>
      </c>
      <c r="G19" s="1040">
        <v>2136</v>
      </c>
      <c r="H19" s="1154">
        <f t="shared" si="7"/>
        <v>47.466666666666669</v>
      </c>
      <c r="I19" s="1095">
        <v>0</v>
      </c>
      <c r="J19" s="1089">
        <f t="shared" si="6"/>
        <v>0</v>
      </c>
      <c r="K19" s="528">
        <f t="shared" si="3"/>
        <v>0</v>
      </c>
      <c r="L19" s="528">
        <f t="shared" si="3"/>
        <v>0</v>
      </c>
      <c r="M19" s="1077"/>
    </row>
    <row r="20" spans="1:13" ht="43.5" customHeight="1" x14ac:dyDescent="0.3">
      <c r="A20" s="1076">
        <v>13</v>
      </c>
      <c r="B20" s="1038" t="s">
        <v>267</v>
      </c>
      <c r="C20" s="782" t="s">
        <v>119</v>
      </c>
      <c r="D20" s="1081">
        <v>500</v>
      </c>
      <c r="E20" s="1089">
        <v>500</v>
      </c>
      <c r="F20" s="1040">
        <f t="shared" si="0"/>
        <v>500</v>
      </c>
      <c r="G20" s="1040">
        <v>0</v>
      </c>
      <c r="H20" s="1154">
        <f t="shared" si="7"/>
        <v>0</v>
      </c>
      <c r="I20" s="1095">
        <v>0</v>
      </c>
      <c r="J20" s="1089">
        <f t="shared" si="6"/>
        <v>0</v>
      </c>
      <c r="K20" s="528">
        <f t="shared" si="3"/>
        <v>0</v>
      </c>
      <c r="L20" s="528">
        <f t="shared" si="3"/>
        <v>0</v>
      </c>
      <c r="M20" s="1077"/>
    </row>
    <row r="21" spans="1:13" ht="18.75" customHeight="1" x14ac:dyDescent="0.3">
      <c r="A21" s="1076">
        <v>14</v>
      </c>
      <c r="B21" s="1038" t="s">
        <v>267</v>
      </c>
      <c r="C21" s="782" t="s">
        <v>742</v>
      </c>
      <c r="D21" s="1081">
        <v>1000</v>
      </c>
      <c r="E21" s="1089">
        <v>1000</v>
      </c>
      <c r="F21" s="1040">
        <f t="shared" si="0"/>
        <v>1000</v>
      </c>
      <c r="G21" s="1040">
        <v>673</v>
      </c>
      <c r="H21" s="1154">
        <f t="shared" si="7"/>
        <v>67.3</v>
      </c>
      <c r="I21" s="1095">
        <v>0</v>
      </c>
      <c r="J21" s="1089">
        <f t="shared" ref="J21:J25" si="8">I21</f>
        <v>0</v>
      </c>
      <c r="K21" s="528">
        <f t="shared" ref="K21:K25" si="9">J21</f>
        <v>0</v>
      </c>
      <c r="L21" s="528">
        <f t="shared" ref="L21:L24" si="10">K21</f>
        <v>0</v>
      </c>
      <c r="M21" s="1077"/>
    </row>
    <row r="22" spans="1:13" ht="18.75" customHeight="1" x14ac:dyDescent="0.3">
      <c r="A22" s="1076">
        <v>15</v>
      </c>
      <c r="B22" s="1038" t="s">
        <v>267</v>
      </c>
      <c r="C22" s="782" t="s">
        <v>61</v>
      </c>
      <c r="D22" s="1081">
        <v>3000</v>
      </c>
      <c r="E22" s="1089">
        <v>3000</v>
      </c>
      <c r="F22" s="1040">
        <f t="shared" si="0"/>
        <v>3000</v>
      </c>
      <c r="G22" s="1040">
        <v>2744</v>
      </c>
      <c r="H22" s="1154">
        <f>G22/F22%</f>
        <v>91.466666666666669</v>
      </c>
      <c r="I22" s="1095">
        <v>0</v>
      </c>
      <c r="J22" s="1089">
        <f t="shared" si="8"/>
        <v>0</v>
      </c>
      <c r="K22" s="528">
        <f t="shared" si="9"/>
        <v>0</v>
      </c>
      <c r="L22" s="528">
        <f t="shared" si="10"/>
        <v>0</v>
      </c>
      <c r="M22" s="1077"/>
    </row>
    <row r="23" spans="1:13" ht="18.75" customHeight="1" x14ac:dyDescent="0.3">
      <c r="A23" s="1076">
        <v>16</v>
      </c>
      <c r="B23" s="1038" t="s">
        <v>267</v>
      </c>
      <c r="C23" s="782" t="s">
        <v>905</v>
      </c>
      <c r="D23" s="1081"/>
      <c r="E23" s="1089">
        <v>216</v>
      </c>
      <c r="F23" s="1040">
        <f t="shared" si="0"/>
        <v>216</v>
      </c>
      <c r="G23" s="1040">
        <v>216</v>
      </c>
      <c r="H23" s="1154">
        <f t="shared" si="7"/>
        <v>100</v>
      </c>
      <c r="I23" s="1095"/>
      <c r="J23" s="1089">
        <f t="shared" si="8"/>
        <v>0</v>
      </c>
      <c r="K23" s="528">
        <f t="shared" si="9"/>
        <v>0</v>
      </c>
      <c r="L23" s="528">
        <f t="shared" si="10"/>
        <v>0</v>
      </c>
      <c r="M23" s="1077"/>
    </row>
    <row r="24" spans="1:13" ht="18.75" customHeight="1" x14ac:dyDescent="0.3">
      <c r="A24" s="1076">
        <v>17</v>
      </c>
      <c r="B24" s="1038" t="s">
        <v>267</v>
      </c>
      <c r="C24" s="782" t="s">
        <v>259</v>
      </c>
      <c r="D24" s="1081"/>
      <c r="E24" s="1089"/>
      <c r="F24" s="1040">
        <v>4500</v>
      </c>
      <c r="G24" s="1040">
        <v>4373</v>
      </c>
      <c r="H24" s="1154">
        <f t="shared" si="7"/>
        <v>97.177777777777777</v>
      </c>
      <c r="I24" s="1095"/>
      <c r="J24" s="1089">
        <f t="shared" si="8"/>
        <v>0</v>
      </c>
      <c r="K24" s="528">
        <f t="shared" si="9"/>
        <v>0</v>
      </c>
      <c r="L24" s="528">
        <f t="shared" si="10"/>
        <v>0</v>
      </c>
      <c r="M24" s="1077"/>
    </row>
    <row r="25" spans="1:13" ht="18.75" customHeight="1" x14ac:dyDescent="0.3">
      <c r="A25" s="1076">
        <v>18</v>
      </c>
      <c r="B25" s="1038" t="s">
        <v>267</v>
      </c>
      <c r="C25" s="782" t="s">
        <v>1048</v>
      </c>
      <c r="D25" s="1081"/>
      <c r="E25" s="1089"/>
      <c r="F25" s="1040">
        <v>327</v>
      </c>
      <c r="G25" s="1040">
        <v>327</v>
      </c>
      <c r="H25" s="1154">
        <f t="shared" si="7"/>
        <v>100</v>
      </c>
      <c r="I25" s="1095"/>
      <c r="J25" s="1089">
        <f t="shared" si="8"/>
        <v>0</v>
      </c>
      <c r="K25" s="528">
        <f t="shared" si="9"/>
        <v>0</v>
      </c>
      <c r="L25" s="528">
        <f>K25</f>
        <v>0</v>
      </c>
      <c r="M25" s="1077"/>
    </row>
    <row r="26" spans="1:13" s="55" customFormat="1" ht="18.75" customHeight="1" thickBot="1" x14ac:dyDescent="0.35">
      <c r="A26" s="1033">
        <v>19</v>
      </c>
      <c r="B26" s="1034" t="s">
        <v>267</v>
      </c>
      <c r="C26" s="1035" t="s">
        <v>269</v>
      </c>
      <c r="D26" s="1083">
        <f>SUM(D17:D23)</f>
        <v>10555</v>
      </c>
      <c r="E26" s="1090">
        <f>SUM(E17:E23)</f>
        <v>11066</v>
      </c>
      <c r="F26" s="1036">
        <f>SUM(F17:F25)</f>
        <v>15893</v>
      </c>
      <c r="G26" s="1036">
        <f>SUM(G17:G25)</f>
        <v>11724</v>
      </c>
      <c r="H26" s="1155">
        <f t="shared" si="7"/>
        <v>73.768325677971433</v>
      </c>
      <c r="I26" s="1097">
        <f>SUM(I17:I22)</f>
        <v>0</v>
      </c>
      <c r="J26" s="1090">
        <f>SUM(J17:J22)</f>
        <v>0</v>
      </c>
      <c r="K26" s="1036">
        <f>SUM(K17:K22)</f>
        <v>0</v>
      </c>
      <c r="L26" s="1036">
        <f>SUM(L17:L22)</f>
        <v>0</v>
      </c>
      <c r="M26" s="1037"/>
    </row>
    <row r="27" spans="1:13" s="55" customFormat="1" ht="18.75" customHeight="1" thickBot="1" x14ac:dyDescent="0.35">
      <c r="A27" s="832">
        <v>20</v>
      </c>
      <c r="B27" s="784" t="s">
        <v>294</v>
      </c>
      <c r="C27" s="281" t="s">
        <v>39</v>
      </c>
      <c r="D27" s="1084">
        <f>D26+D16+D15+D14+D13+D12+D8</f>
        <v>15271</v>
      </c>
      <c r="E27" s="1091">
        <f t="shared" ref="E27:J27" si="11">E26+E16+E15+E14+E13+E12+E8</f>
        <v>15566</v>
      </c>
      <c r="F27" s="529">
        <f t="shared" ref="F27:G27" si="12">F26+F16+F15+F14+F13+F12+F8</f>
        <v>15893</v>
      </c>
      <c r="G27" s="529">
        <f t="shared" si="12"/>
        <v>11724</v>
      </c>
      <c r="H27" s="1156">
        <f t="shared" si="7"/>
        <v>73.768325677971433</v>
      </c>
      <c r="I27" s="1098">
        <f t="shared" si="11"/>
        <v>4900</v>
      </c>
      <c r="J27" s="1091">
        <f t="shared" si="11"/>
        <v>3800</v>
      </c>
      <c r="K27" s="529">
        <f t="shared" ref="K27:L27" si="13">K26+K16+K15+K14+K13+K12+K8</f>
        <v>3855</v>
      </c>
      <c r="L27" s="529">
        <f t="shared" si="13"/>
        <v>3037</v>
      </c>
      <c r="M27" s="1159">
        <f>L27/K27%</f>
        <v>78.78080415045396</v>
      </c>
    </row>
    <row r="31" spans="1:13" x14ac:dyDescent="0.25">
      <c r="F31" s="961"/>
      <c r="G31" s="961"/>
      <c r="H31" s="961"/>
    </row>
    <row r="32" spans="1:13" x14ac:dyDescent="0.25">
      <c r="F32" s="961"/>
      <c r="G32" s="961"/>
      <c r="H32" s="961"/>
    </row>
    <row r="33" spans="6:8" x14ac:dyDescent="0.25">
      <c r="F33" s="961"/>
      <c r="G33" s="961"/>
      <c r="H33" s="961"/>
    </row>
  </sheetData>
  <mergeCells count="3">
    <mergeCell ref="A1:M1"/>
    <mergeCell ref="A2:M2"/>
    <mergeCell ref="A3:M3"/>
  </mergeCells>
  <phoneticPr fontId="62" type="noConversion"/>
  <printOptions horizontalCentered="1"/>
  <pageMargins left="0.2" right="0.2" top="0.33" bottom="0.19" header="0.51181102362204722" footer="0.51181102362204722"/>
  <pageSetup paperSize="9" scale="5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Munka24">
    <tabColor theme="3"/>
    <pageSetUpPr fitToPage="1"/>
  </sheetPr>
  <dimension ref="A1:L43"/>
  <sheetViews>
    <sheetView view="pageBreakPreview" zoomScale="90" zoomScaleSheetLayoutView="90" workbookViewId="0">
      <selection activeCell="A2" sqref="A2:O2"/>
    </sheetView>
  </sheetViews>
  <sheetFormatPr defaultRowHeight="15" x14ac:dyDescent="0.25"/>
  <cols>
    <col min="1" max="1" width="5.42578125" style="51" customWidth="1"/>
    <col min="2" max="2" width="14.5703125" style="50" customWidth="1"/>
    <col min="3" max="3" width="121.28515625" style="51" customWidth="1"/>
    <col min="4" max="4" width="16.140625" style="51" hidden="1" customWidth="1"/>
    <col min="5" max="8" width="16.140625" style="51" customWidth="1"/>
    <col min="9" max="9" width="16.140625" style="52" customWidth="1"/>
    <col min="10" max="16384" width="9.140625" style="51"/>
  </cols>
  <sheetData>
    <row r="1" spans="1:10" ht="23.25" x14ac:dyDescent="0.35">
      <c r="A1" s="2417" t="str">
        <f>Tartalomjegyzék_2017!A1</f>
        <v>Pilisvörösvár Város Önkormányzata Képviselő-testületének 7/2018. (IV. 27.) önkormányzati rendelete</v>
      </c>
      <c r="B1" s="2417"/>
      <c r="C1" s="2417"/>
      <c r="D1" s="2511"/>
      <c r="E1" s="2511"/>
      <c r="F1" s="2511"/>
      <c r="G1" s="2511"/>
      <c r="H1" s="2511"/>
      <c r="I1" s="936"/>
      <c r="J1" s="128"/>
    </row>
    <row r="2" spans="1:10" ht="23.25" x14ac:dyDescent="0.35">
      <c r="A2" s="2417" t="str">
        <f>'17. Ellátottak p.jutattás (K4)'!A2:J2</f>
        <v>az Önkormányzat  2017. évi zárszámadásáról</v>
      </c>
      <c r="B2" s="2417"/>
      <c r="C2" s="2417"/>
      <c r="D2" s="2511"/>
      <c r="E2" s="2511"/>
      <c r="F2" s="2511"/>
      <c r="G2" s="2511"/>
      <c r="H2" s="2511"/>
      <c r="I2" s="936"/>
      <c r="J2" s="128"/>
    </row>
    <row r="3" spans="1:10" ht="23.25" x14ac:dyDescent="0.35">
      <c r="A3" s="2417" t="str">
        <f>Tartalomjegyzék_2017!B25</f>
        <v>Pilisvörösvár Város Önkormányzata egyéb működési és felhalmozási célú kiadásai (támogatásértékű kiadások és átadott pénzeszközök)</v>
      </c>
      <c r="B3" s="2417"/>
      <c r="C3" s="2417"/>
      <c r="D3" s="2511"/>
      <c r="E3" s="2511"/>
      <c r="F3" s="2511"/>
      <c r="G3" s="2511"/>
      <c r="H3" s="2511"/>
      <c r="I3" s="936"/>
    </row>
    <row r="4" spans="1:10" ht="23.25" x14ac:dyDescent="0.35">
      <c r="A4" s="2075"/>
      <c r="B4" s="2075"/>
      <c r="C4" s="2075"/>
      <c r="D4" s="2155"/>
      <c r="E4" s="2155"/>
      <c r="F4" s="2155"/>
      <c r="G4" s="2155"/>
      <c r="H4" s="2155"/>
      <c r="I4" s="936"/>
    </row>
    <row r="5" spans="1:10" ht="46.5" x14ac:dyDescent="0.35">
      <c r="A5" s="2075"/>
      <c r="B5" s="2075"/>
      <c r="C5" s="2075"/>
      <c r="D5" s="2155"/>
      <c r="E5" s="304"/>
      <c r="F5" s="304"/>
      <c r="G5" s="2156"/>
      <c r="H5" s="2156" t="s">
        <v>1123</v>
      </c>
      <c r="I5" s="606"/>
    </row>
    <row r="6" spans="1:10" ht="21.75" customHeight="1" x14ac:dyDescent="0.35">
      <c r="A6" s="304"/>
      <c r="B6" s="2157"/>
      <c r="C6" s="304"/>
      <c r="D6" s="304"/>
      <c r="E6" s="304"/>
      <c r="F6" s="304"/>
      <c r="G6" s="1342"/>
      <c r="H6" s="1342"/>
    </row>
    <row r="7" spans="1:10" ht="21" customHeight="1" thickBot="1" x14ac:dyDescent="0.4">
      <c r="A7" s="304"/>
      <c r="B7" s="2157"/>
      <c r="C7" s="304"/>
      <c r="D7" s="304"/>
      <c r="E7" s="304"/>
      <c r="F7" s="304"/>
      <c r="G7" s="2158"/>
      <c r="H7" s="2158" t="s">
        <v>323</v>
      </c>
      <c r="I7" s="351"/>
    </row>
    <row r="8" spans="1:10" ht="93" customHeight="1" thickBot="1" x14ac:dyDescent="0.3">
      <c r="A8" s="1001" t="s">
        <v>783</v>
      </c>
      <c r="B8" s="833" t="s">
        <v>778</v>
      </c>
      <c r="C8" s="532" t="s">
        <v>359</v>
      </c>
      <c r="D8" s="486" t="s">
        <v>632</v>
      </c>
      <c r="E8" s="486" t="str">
        <f>'17. Ellátottak p.jutattás (K4)'!E7</f>
        <v>Önkormányzat 2017. évi eredeti előirányzat</v>
      </c>
      <c r="F8" s="486" t="str">
        <f>'17. Ellátottak p.jutattás (K4)'!F7</f>
        <v>Önkormányzat 2017. évi módosított előirányzat 2017.12.31</v>
      </c>
      <c r="G8" s="486" t="str">
        <f>'17. Ellátottak p.jutattás (K4)'!G7</f>
        <v>Önkormányzat 2017. évi Teljesítés 2017.12.31</v>
      </c>
      <c r="H8" s="609" t="str">
        <f>'17. Ellátottak p.jutattás (K4)'!H7</f>
        <v>Teljesítés %-ban</v>
      </c>
      <c r="I8" s="944"/>
    </row>
    <row r="9" spans="1:10" ht="26.25" hidden="1" customHeight="1" thickBot="1" x14ac:dyDescent="0.3">
      <c r="A9" s="1002">
        <v>1</v>
      </c>
      <c r="B9" s="834" t="s">
        <v>120</v>
      </c>
      <c r="C9" s="612" t="s">
        <v>824</v>
      </c>
      <c r="D9" s="486"/>
      <c r="E9" s="932"/>
      <c r="F9" s="932"/>
      <c r="G9" s="932"/>
      <c r="H9" s="999"/>
      <c r="I9" s="945"/>
    </row>
    <row r="10" spans="1:10" ht="26.25" customHeight="1" thickBot="1" x14ac:dyDescent="0.3">
      <c r="A10" s="1002">
        <v>1</v>
      </c>
      <c r="B10" s="834" t="s">
        <v>120</v>
      </c>
      <c r="C10" s="1000" t="s">
        <v>1020</v>
      </c>
      <c r="D10" s="486"/>
      <c r="E10" s="932">
        <v>0</v>
      </c>
      <c r="F10" s="932">
        <v>2551</v>
      </c>
      <c r="G10" s="932">
        <v>2551</v>
      </c>
      <c r="H10" s="1526">
        <f>G10/F10%</f>
        <v>100</v>
      </c>
      <c r="I10" s="945"/>
    </row>
    <row r="11" spans="1:10" s="56" customFormat="1" ht="24.95" customHeight="1" thickBot="1" x14ac:dyDescent="0.25">
      <c r="A11" s="1003" t="s">
        <v>163</v>
      </c>
      <c r="B11" s="835" t="s">
        <v>120</v>
      </c>
      <c r="C11" s="134" t="s">
        <v>121</v>
      </c>
      <c r="D11" s="530">
        <f>SUM(D9)</f>
        <v>0</v>
      </c>
      <c r="E11" s="530">
        <f>SUM(E9)</f>
        <v>0</v>
      </c>
      <c r="F11" s="530">
        <f>SUM(F10)</f>
        <v>2551</v>
      </c>
      <c r="G11" s="530">
        <f>SUM(G10)</f>
        <v>2551</v>
      </c>
      <c r="H11" s="1527">
        <f t="shared" ref="H11:H38" si="0">G11/F11%</f>
        <v>100</v>
      </c>
      <c r="I11" s="946"/>
    </row>
    <row r="12" spans="1:10" ht="30" customHeight="1" x14ac:dyDescent="0.25">
      <c r="A12" s="1004" t="s">
        <v>826</v>
      </c>
      <c r="B12" s="836" t="s">
        <v>295</v>
      </c>
      <c r="C12" s="115" t="s">
        <v>122</v>
      </c>
      <c r="D12" s="531">
        <v>200</v>
      </c>
      <c r="E12" s="933">
        <v>0</v>
      </c>
      <c r="F12" s="933">
        <f t="shared" ref="F12:G43" si="1">E12</f>
        <v>0</v>
      </c>
      <c r="G12" s="933">
        <v>0</v>
      </c>
      <c r="H12" s="1528"/>
      <c r="I12" s="945"/>
    </row>
    <row r="13" spans="1:10" ht="30" customHeight="1" x14ac:dyDescent="0.25">
      <c r="A13" s="1005" t="s">
        <v>166</v>
      </c>
      <c r="B13" s="837" t="s">
        <v>295</v>
      </c>
      <c r="C13" s="103" t="s">
        <v>123</v>
      </c>
      <c r="D13" s="521">
        <v>3000</v>
      </c>
      <c r="E13" s="933">
        <v>3000</v>
      </c>
      <c r="F13" s="933">
        <f>E13+223</f>
        <v>3223</v>
      </c>
      <c r="G13" s="933">
        <v>2972</v>
      </c>
      <c r="H13" s="1528">
        <f t="shared" si="0"/>
        <v>92.212224635432833</v>
      </c>
      <c r="I13" s="945"/>
    </row>
    <row r="14" spans="1:10" ht="30" customHeight="1" x14ac:dyDescent="0.25">
      <c r="A14" s="1004" t="s">
        <v>168</v>
      </c>
      <c r="B14" s="837" t="s">
        <v>295</v>
      </c>
      <c r="C14" s="103" t="s">
        <v>124</v>
      </c>
      <c r="D14" s="521">
        <v>500</v>
      </c>
      <c r="E14" s="933">
        <v>500</v>
      </c>
      <c r="F14" s="933">
        <f>E14-500</f>
        <v>0</v>
      </c>
      <c r="G14" s="933">
        <v>0</v>
      </c>
      <c r="H14" s="1528"/>
      <c r="I14" s="945"/>
    </row>
    <row r="15" spans="1:10" ht="30" hidden="1" customHeight="1" x14ac:dyDescent="0.25">
      <c r="A15" s="1005" t="s">
        <v>168</v>
      </c>
      <c r="B15" s="837" t="s">
        <v>295</v>
      </c>
      <c r="C15" s="103" t="s">
        <v>875</v>
      </c>
      <c r="D15" s="521"/>
      <c r="E15" s="933"/>
      <c r="F15" s="933">
        <f t="shared" si="1"/>
        <v>0</v>
      </c>
      <c r="G15" s="933"/>
      <c r="H15" s="1528" t="e">
        <f t="shared" si="0"/>
        <v>#DIV/0!</v>
      </c>
      <c r="I15" s="945"/>
    </row>
    <row r="16" spans="1:10" ht="30.75" customHeight="1" x14ac:dyDescent="0.25">
      <c r="A16" s="1004" t="s">
        <v>827</v>
      </c>
      <c r="B16" s="837" t="s">
        <v>295</v>
      </c>
      <c r="C16" s="103" t="s">
        <v>780</v>
      </c>
      <c r="D16" s="521">
        <f>24151+1000</f>
        <v>25151</v>
      </c>
      <c r="E16" s="933">
        <v>32496</v>
      </c>
      <c r="F16" s="933">
        <f t="shared" si="1"/>
        <v>32496</v>
      </c>
      <c r="G16" s="933">
        <v>32496</v>
      </c>
      <c r="H16" s="1528">
        <f t="shared" si="0"/>
        <v>100</v>
      </c>
      <c r="I16" s="945"/>
    </row>
    <row r="17" spans="1:12" ht="29.25" customHeight="1" x14ac:dyDescent="0.25">
      <c r="A17" s="1005" t="s">
        <v>171</v>
      </c>
      <c r="B17" s="837" t="s">
        <v>295</v>
      </c>
      <c r="C17" s="103" t="s">
        <v>781</v>
      </c>
      <c r="D17" s="521">
        <f>43702</f>
        <v>43702</v>
      </c>
      <c r="E17" s="933">
        <v>44420</v>
      </c>
      <c r="F17" s="933">
        <f>E17+86+1140+137+1107+2315+137+159+1+135+1860+125+1435+108+1740-2446+108+1547+108+1541+109+1939-878+2-1751+107+107+1572+1990+107+1885-86+1530-1011</f>
        <v>61385</v>
      </c>
      <c r="G17" s="933">
        <v>62570</v>
      </c>
      <c r="H17" s="1528">
        <f t="shared" si="0"/>
        <v>101.93043903233689</v>
      </c>
      <c r="I17" s="945"/>
      <c r="J17" s="57"/>
      <c r="K17" s="57"/>
      <c r="L17" s="57"/>
    </row>
    <row r="18" spans="1:12" ht="29.25" customHeight="1" x14ac:dyDescent="0.25">
      <c r="A18" s="1004" t="s">
        <v>174</v>
      </c>
      <c r="B18" s="837" t="s">
        <v>295</v>
      </c>
      <c r="C18" s="103" t="s">
        <v>782</v>
      </c>
      <c r="D18" s="521">
        <v>10697</v>
      </c>
      <c r="E18" s="933">
        <v>2666</v>
      </c>
      <c r="F18" s="933">
        <f t="shared" si="1"/>
        <v>2666</v>
      </c>
      <c r="G18" s="933">
        <v>2666</v>
      </c>
      <c r="H18" s="1528">
        <f t="shared" si="0"/>
        <v>100</v>
      </c>
      <c r="I18" s="945"/>
      <c r="J18" s="57"/>
      <c r="L18" s="57"/>
    </row>
    <row r="19" spans="1:12" ht="35.25" customHeight="1" x14ac:dyDescent="0.25">
      <c r="A19" s="1005" t="s">
        <v>177</v>
      </c>
      <c r="B19" s="837" t="s">
        <v>295</v>
      </c>
      <c r="C19" s="103" t="s">
        <v>784</v>
      </c>
      <c r="D19" s="521">
        <v>20100</v>
      </c>
      <c r="E19" s="933">
        <v>20100</v>
      </c>
      <c r="F19" s="933">
        <f>E19+2446+1751+1011</f>
        <v>25308</v>
      </c>
      <c r="G19" s="933">
        <v>23589</v>
      </c>
      <c r="H19" s="1528">
        <f t="shared" si="0"/>
        <v>93.207681365576093</v>
      </c>
      <c r="I19" s="945"/>
      <c r="J19" s="57"/>
    </row>
    <row r="20" spans="1:12" ht="30.75" customHeight="1" x14ac:dyDescent="0.25">
      <c r="A20" s="1004" t="s">
        <v>179</v>
      </c>
      <c r="B20" s="837" t="s">
        <v>295</v>
      </c>
      <c r="C20" s="103" t="s">
        <v>125</v>
      </c>
      <c r="D20" s="521">
        <v>4000</v>
      </c>
      <c r="E20" s="933">
        <v>4000</v>
      </c>
      <c r="F20" s="933">
        <f t="shared" si="1"/>
        <v>4000</v>
      </c>
      <c r="G20" s="933">
        <v>4000</v>
      </c>
      <c r="H20" s="1528">
        <f t="shared" si="0"/>
        <v>100</v>
      </c>
      <c r="I20" s="945"/>
    </row>
    <row r="21" spans="1:12" ht="30.75" hidden="1" customHeight="1" thickBot="1" x14ac:dyDescent="0.3">
      <c r="A21" s="1005">
        <v>12</v>
      </c>
      <c r="B21" s="837" t="s">
        <v>295</v>
      </c>
      <c r="C21" s="628" t="s">
        <v>859</v>
      </c>
      <c r="D21" s="627"/>
      <c r="E21" s="934"/>
      <c r="F21" s="934">
        <f t="shared" si="1"/>
        <v>0</v>
      </c>
      <c r="G21" s="934"/>
      <c r="H21" s="1529" t="e">
        <f t="shared" si="0"/>
        <v>#DIV/0!</v>
      </c>
      <c r="I21" s="945"/>
    </row>
    <row r="22" spans="1:12" ht="30.75" customHeight="1" thickBot="1" x14ac:dyDescent="0.3">
      <c r="A22" s="1010" t="s">
        <v>181</v>
      </c>
      <c r="B22" s="837" t="s">
        <v>295</v>
      </c>
      <c r="C22" s="628" t="s">
        <v>1042</v>
      </c>
      <c r="D22" s="627"/>
      <c r="E22" s="934"/>
      <c r="F22" s="934">
        <v>150</v>
      </c>
      <c r="G22" s="934">
        <v>150</v>
      </c>
      <c r="H22" s="1529">
        <f t="shared" si="0"/>
        <v>100</v>
      </c>
      <c r="I22" s="945"/>
    </row>
    <row r="23" spans="1:12" s="56" customFormat="1" ht="30" customHeight="1" thickBot="1" x14ac:dyDescent="0.25">
      <c r="A23" s="1003" t="s">
        <v>183</v>
      </c>
      <c r="B23" s="835" t="s">
        <v>295</v>
      </c>
      <c r="C23" s="134" t="s">
        <v>296</v>
      </c>
      <c r="D23" s="530">
        <f>SUM(D12:D20)</f>
        <v>107350</v>
      </c>
      <c r="E23" s="530">
        <f>SUM(E12:E21)</f>
        <v>107182</v>
      </c>
      <c r="F23" s="530">
        <f>SUM(F12:F22)</f>
        <v>129228</v>
      </c>
      <c r="G23" s="530">
        <f>SUM(G12:G22)</f>
        <v>128443</v>
      </c>
      <c r="H23" s="1527">
        <f t="shared" si="0"/>
        <v>99.39254650694896</v>
      </c>
      <c r="I23" s="946"/>
    </row>
    <row r="24" spans="1:12" s="56" customFormat="1" ht="30" customHeight="1" thickBot="1" x14ac:dyDescent="0.25">
      <c r="A24" s="1003" t="s">
        <v>186</v>
      </c>
      <c r="B24" s="835" t="s">
        <v>126</v>
      </c>
      <c r="C24" s="134" t="s">
        <v>127</v>
      </c>
      <c r="D24" s="530"/>
      <c r="E24" s="530"/>
      <c r="F24" s="530">
        <f t="shared" si="1"/>
        <v>0</v>
      </c>
      <c r="G24" s="530"/>
      <c r="H24" s="1527"/>
      <c r="I24" s="946"/>
    </row>
    <row r="25" spans="1:12" s="56" customFormat="1" ht="30" customHeight="1" thickBot="1" x14ac:dyDescent="0.25">
      <c r="A25" s="1003" t="s">
        <v>188</v>
      </c>
      <c r="B25" s="835" t="s">
        <v>128</v>
      </c>
      <c r="C25" s="134" t="s">
        <v>129</v>
      </c>
      <c r="D25" s="530"/>
      <c r="E25" s="530"/>
      <c r="F25" s="530">
        <f t="shared" si="1"/>
        <v>0</v>
      </c>
      <c r="G25" s="530"/>
      <c r="H25" s="1527"/>
      <c r="I25" s="946"/>
    </row>
    <row r="26" spans="1:12" s="56" customFormat="1" ht="30" customHeight="1" thickBot="1" x14ac:dyDescent="0.25">
      <c r="A26" s="1003" t="s">
        <v>191</v>
      </c>
      <c r="B26" s="835" t="s">
        <v>130</v>
      </c>
      <c r="C26" s="134" t="s">
        <v>131</v>
      </c>
      <c r="D26" s="530"/>
      <c r="E26" s="530"/>
      <c r="F26" s="530">
        <f t="shared" si="1"/>
        <v>0</v>
      </c>
      <c r="G26" s="530"/>
      <c r="H26" s="1527"/>
      <c r="I26" s="946"/>
    </row>
    <row r="27" spans="1:12" s="56" customFormat="1" ht="30" customHeight="1" thickBot="1" x14ac:dyDescent="0.25">
      <c r="A27" s="1003" t="s">
        <v>194</v>
      </c>
      <c r="B27" s="835" t="s">
        <v>132</v>
      </c>
      <c r="C27" s="134" t="s">
        <v>133</v>
      </c>
      <c r="D27" s="530"/>
      <c r="E27" s="530"/>
      <c r="F27" s="530">
        <f t="shared" si="1"/>
        <v>0</v>
      </c>
      <c r="G27" s="530"/>
      <c r="H27" s="1527"/>
      <c r="I27" s="946"/>
    </row>
    <row r="28" spans="1:12" ht="30.75" customHeight="1" x14ac:dyDescent="0.25">
      <c r="A28" s="1005" t="s">
        <v>198</v>
      </c>
      <c r="B28" s="837" t="s">
        <v>298</v>
      </c>
      <c r="C28" s="108" t="s">
        <v>1035</v>
      </c>
      <c r="D28" s="521"/>
      <c r="E28" s="767"/>
      <c r="F28" s="767">
        <v>480</v>
      </c>
      <c r="G28" s="767">
        <v>480</v>
      </c>
      <c r="H28" s="1137">
        <f t="shared" si="0"/>
        <v>100</v>
      </c>
      <c r="I28" s="945"/>
    </row>
    <row r="29" spans="1:12" ht="30.75" customHeight="1" x14ac:dyDescent="0.25">
      <c r="A29" s="1005" t="s">
        <v>201</v>
      </c>
      <c r="B29" s="837" t="s">
        <v>298</v>
      </c>
      <c r="C29" s="108" t="s">
        <v>134</v>
      </c>
      <c r="D29" s="521">
        <v>9000</v>
      </c>
      <c r="E29" s="767">
        <v>9900</v>
      </c>
      <c r="F29" s="767">
        <f>E29+1000+3500+400+235</f>
        <v>15035</v>
      </c>
      <c r="G29" s="767">
        <v>14035</v>
      </c>
      <c r="H29" s="1137">
        <f t="shared" si="0"/>
        <v>93.348852677086796</v>
      </c>
      <c r="I29" s="945"/>
    </row>
    <row r="30" spans="1:12" ht="42" customHeight="1" x14ac:dyDescent="0.25">
      <c r="A30" s="1005" t="s">
        <v>203</v>
      </c>
      <c r="B30" s="837" t="s">
        <v>298</v>
      </c>
      <c r="C30" s="103" t="s">
        <v>983</v>
      </c>
      <c r="D30" s="521">
        <v>0</v>
      </c>
      <c r="E30" s="521">
        <f>150+500+156</f>
        <v>806</v>
      </c>
      <c r="F30" s="521">
        <f>E30-156-150-235</f>
        <v>265</v>
      </c>
      <c r="G30" s="521">
        <v>0</v>
      </c>
      <c r="H30" s="1530">
        <f t="shared" si="0"/>
        <v>0</v>
      </c>
      <c r="I30" s="947"/>
    </row>
    <row r="31" spans="1:12" ht="30.75" customHeight="1" thickBot="1" x14ac:dyDescent="0.3">
      <c r="A31" s="1005" t="s">
        <v>828</v>
      </c>
      <c r="B31" s="837" t="s">
        <v>298</v>
      </c>
      <c r="C31" s="108" t="s">
        <v>135</v>
      </c>
      <c r="D31" s="521">
        <v>1500</v>
      </c>
      <c r="E31" s="521">
        <v>0</v>
      </c>
      <c r="F31" s="521">
        <f t="shared" si="1"/>
        <v>0</v>
      </c>
      <c r="G31" s="521">
        <v>0</v>
      </c>
      <c r="H31" s="1530"/>
      <c r="I31" s="947"/>
    </row>
    <row r="32" spans="1:12" ht="30.75" hidden="1" customHeight="1" thickBot="1" x14ac:dyDescent="0.3">
      <c r="A32" s="1005" t="s">
        <v>828</v>
      </c>
      <c r="B32" s="837" t="s">
        <v>298</v>
      </c>
      <c r="C32" s="131" t="s">
        <v>136</v>
      </c>
      <c r="D32" s="522">
        <v>0</v>
      </c>
      <c r="E32" s="521"/>
      <c r="F32" s="521">
        <f t="shared" si="1"/>
        <v>0</v>
      </c>
      <c r="G32" s="521"/>
      <c r="H32" s="1530" t="e">
        <f t="shared" si="0"/>
        <v>#DIV/0!</v>
      </c>
      <c r="I32" s="947"/>
    </row>
    <row r="33" spans="1:10" s="56" customFormat="1" ht="30.75" customHeight="1" thickBot="1" x14ac:dyDescent="0.25">
      <c r="A33" s="1003" t="s">
        <v>829</v>
      </c>
      <c r="B33" s="835" t="s">
        <v>298</v>
      </c>
      <c r="C33" s="134" t="s">
        <v>297</v>
      </c>
      <c r="D33" s="530">
        <f>SUM(D29:D32)</f>
        <v>10500</v>
      </c>
      <c r="E33" s="530">
        <f>SUM(E29:E32)</f>
        <v>10706</v>
      </c>
      <c r="F33" s="530">
        <f>SUM(F28:F32)</f>
        <v>15780</v>
      </c>
      <c r="G33" s="530">
        <f>SUM(G28:G32)</f>
        <v>14515</v>
      </c>
      <c r="H33" s="1527">
        <f t="shared" si="0"/>
        <v>91.983523447401765</v>
      </c>
      <c r="I33" s="946"/>
    </row>
    <row r="34" spans="1:10" ht="30.75" customHeight="1" x14ac:dyDescent="0.25">
      <c r="A34" s="1006">
        <v>22</v>
      </c>
      <c r="B34" s="838" t="s">
        <v>785</v>
      </c>
      <c r="C34" s="132" t="s">
        <v>984</v>
      </c>
      <c r="D34" s="531">
        <f>'19. Tartalékok (K512)'!C26</f>
        <v>18000</v>
      </c>
      <c r="E34" s="531">
        <f>'19. Tartalékok (K512)'!D26</f>
        <v>17100</v>
      </c>
      <c r="F34" s="531">
        <f>'19. Tartalékok (K512)'!E26</f>
        <v>27426</v>
      </c>
      <c r="G34" s="531">
        <v>0</v>
      </c>
      <c r="H34" s="1531">
        <f t="shared" si="0"/>
        <v>0</v>
      </c>
      <c r="I34" s="947"/>
    </row>
    <row r="35" spans="1:10" ht="30.75" customHeight="1" x14ac:dyDescent="0.25">
      <c r="A35" s="1006">
        <v>23</v>
      </c>
      <c r="B35" s="838" t="s">
        <v>785</v>
      </c>
      <c r="C35" s="104" t="s">
        <v>985</v>
      </c>
      <c r="D35" s="522">
        <f>'19. Tartalékok (K512)'!C25</f>
        <v>1571</v>
      </c>
      <c r="E35" s="522">
        <f>'19. Tartalékok (K512)'!D25</f>
        <v>1679</v>
      </c>
      <c r="F35" s="522">
        <f>'19. Tartalékok (K512)'!E25</f>
        <v>0</v>
      </c>
      <c r="G35" s="522">
        <v>0</v>
      </c>
      <c r="H35" s="1532"/>
      <c r="I35" s="947"/>
      <c r="J35" s="57"/>
    </row>
    <row r="36" spans="1:10" ht="30.75" customHeight="1" thickBot="1" x14ac:dyDescent="0.3">
      <c r="A36" s="1006">
        <v>24</v>
      </c>
      <c r="B36" s="838" t="s">
        <v>785</v>
      </c>
      <c r="C36" s="104" t="s">
        <v>986</v>
      </c>
      <c r="D36" s="522">
        <f>'19. Tartalékok (K512)'!C21</f>
        <v>298133</v>
      </c>
      <c r="E36" s="522">
        <f>'19. Tartalékok (K512)'!D21</f>
        <v>179675</v>
      </c>
      <c r="F36" s="522">
        <f>'19. Tartalékok (K512)'!E21</f>
        <v>84168</v>
      </c>
      <c r="G36" s="522">
        <v>0</v>
      </c>
      <c r="H36" s="1532">
        <f t="shared" si="0"/>
        <v>0</v>
      </c>
      <c r="I36" s="947"/>
    </row>
    <row r="37" spans="1:10" s="56" customFormat="1" ht="30.75" customHeight="1" thickBot="1" x14ac:dyDescent="0.25">
      <c r="A37" s="1007" t="s">
        <v>81</v>
      </c>
      <c r="B37" s="839" t="s">
        <v>785</v>
      </c>
      <c r="C37" s="134" t="s">
        <v>137</v>
      </c>
      <c r="D37" s="530">
        <f>SUM(D34:D36)</f>
        <v>317704</v>
      </c>
      <c r="E37" s="530">
        <f>SUM(E34:E36)</f>
        <v>198454</v>
      </c>
      <c r="F37" s="530">
        <f>SUM(F34:F36)</f>
        <v>111594</v>
      </c>
      <c r="G37" s="530">
        <f>SUM(G34:G36)</f>
        <v>0</v>
      </c>
      <c r="H37" s="1527">
        <f t="shared" si="0"/>
        <v>0</v>
      </c>
      <c r="I37" s="946"/>
    </row>
    <row r="38" spans="1:10" s="56" customFormat="1" ht="30.75" customHeight="1" thickBot="1" x14ac:dyDescent="0.25">
      <c r="A38" s="1008" t="s">
        <v>211</v>
      </c>
      <c r="B38" s="840" t="s">
        <v>301</v>
      </c>
      <c r="C38" s="133" t="s">
        <v>672</v>
      </c>
      <c r="D38" s="523">
        <f>D11+D23+D24+D25+D26+D27+D33+D37</f>
        <v>435554</v>
      </c>
      <c r="E38" s="523">
        <f>E11+E23+E24+E25+E26+E27+E33+E37</f>
        <v>316342</v>
      </c>
      <c r="F38" s="523">
        <f>F11+F23+F24+F25+F26+F27+F33+F37</f>
        <v>259153</v>
      </c>
      <c r="G38" s="523">
        <f>G11+G23+G24+G25+G26+G27+G33+G37</f>
        <v>145509</v>
      </c>
      <c r="H38" s="1533">
        <f t="shared" si="0"/>
        <v>56.147912623045066</v>
      </c>
      <c r="I38" s="948"/>
    </row>
    <row r="39" spans="1:10" ht="30.75" customHeight="1" thickBot="1" x14ac:dyDescent="0.3">
      <c r="A39" s="1009">
        <v>27</v>
      </c>
      <c r="B39" s="841" t="s">
        <v>251</v>
      </c>
      <c r="C39" s="104" t="s">
        <v>674</v>
      </c>
      <c r="D39" s="522">
        <v>0</v>
      </c>
      <c r="E39" s="522">
        <v>0</v>
      </c>
      <c r="F39" s="522">
        <f t="shared" si="1"/>
        <v>0</v>
      </c>
      <c r="G39" s="522">
        <v>0</v>
      </c>
      <c r="H39" s="1532"/>
      <c r="I39" s="947"/>
    </row>
    <row r="40" spans="1:10" ht="30.75" customHeight="1" thickBot="1" x14ac:dyDescent="0.3">
      <c r="A40" s="1008" t="s">
        <v>214</v>
      </c>
      <c r="B40" s="840" t="s">
        <v>251</v>
      </c>
      <c r="C40" s="133" t="s">
        <v>655</v>
      </c>
      <c r="D40" s="523">
        <f>SUM(D39)</f>
        <v>0</v>
      </c>
      <c r="E40" s="523">
        <f>SUM(E39)</f>
        <v>0</v>
      </c>
      <c r="F40" s="523">
        <f t="shared" si="1"/>
        <v>0</v>
      </c>
      <c r="G40" s="523">
        <f t="shared" si="1"/>
        <v>0</v>
      </c>
      <c r="H40" s="1533"/>
      <c r="I40" s="948"/>
    </row>
    <row r="41" spans="1:10" ht="30.75" customHeight="1" thickBot="1" x14ac:dyDescent="0.3">
      <c r="A41" s="1009">
        <v>29</v>
      </c>
      <c r="B41" s="841" t="s">
        <v>869</v>
      </c>
      <c r="C41" s="104" t="s">
        <v>870</v>
      </c>
      <c r="D41" s="522"/>
      <c r="E41" s="522"/>
      <c r="F41" s="522">
        <f t="shared" si="1"/>
        <v>0</v>
      </c>
      <c r="G41" s="522">
        <v>0</v>
      </c>
      <c r="H41" s="1532"/>
      <c r="I41" s="947"/>
    </row>
    <row r="42" spans="1:10" ht="27" customHeight="1" thickBot="1" x14ac:dyDescent="0.3">
      <c r="A42" s="1008" t="s">
        <v>218</v>
      </c>
      <c r="B42" s="840" t="s">
        <v>869</v>
      </c>
      <c r="C42" s="133" t="s">
        <v>870</v>
      </c>
      <c r="D42" s="610">
        <f>SUM(D41)</f>
        <v>0</v>
      </c>
      <c r="E42" s="523">
        <f>SUM(E41)</f>
        <v>0</v>
      </c>
      <c r="F42" s="523">
        <f t="shared" si="1"/>
        <v>0</v>
      </c>
      <c r="G42" s="523">
        <f t="shared" si="1"/>
        <v>0</v>
      </c>
      <c r="H42" s="1533"/>
      <c r="I42" s="948"/>
    </row>
    <row r="43" spans="1:10" ht="27" customHeight="1" thickBot="1" x14ac:dyDescent="0.3">
      <c r="A43" s="1008" t="s">
        <v>220</v>
      </c>
      <c r="B43" s="840" t="s">
        <v>308</v>
      </c>
      <c r="C43" s="133" t="s">
        <v>871</v>
      </c>
      <c r="D43" s="610">
        <f>D40+D42</f>
        <v>0</v>
      </c>
      <c r="E43" s="523">
        <f>E40+E42</f>
        <v>0</v>
      </c>
      <c r="F43" s="523">
        <f t="shared" si="1"/>
        <v>0</v>
      </c>
      <c r="G43" s="523">
        <f t="shared" si="1"/>
        <v>0</v>
      </c>
      <c r="H43" s="1533"/>
      <c r="I43" s="948"/>
    </row>
  </sheetData>
  <mergeCells count="3">
    <mergeCell ref="A1:H1"/>
    <mergeCell ref="A2:H2"/>
    <mergeCell ref="A3:H3"/>
  </mergeCells>
  <phoneticPr fontId="62" type="noConversion"/>
  <pageMargins left="0.33" right="0.28000000000000003" top="1" bottom="1" header="0.5" footer="0.5"/>
  <pageSetup paperSize="9" scale="5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Munka25">
    <tabColor theme="3" tint="-0.249977111117893"/>
    <pageSetUpPr fitToPage="1"/>
  </sheetPr>
  <dimension ref="A1:I34"/>
  <sheetViews>
    <sheetView view="pageBreakPreview" zoomScaleSheetLayoutView="100" workbookViewId="0">
      <selection activeCell="A2" sqref="A2:O2"/>
    </sheetView>
  </sheetViews>
  <sheetFormatPr defaultRowHeight="15.75" x14ac:dyDescent="0.25"/>
  <cols>
    <col min="1" max="1" width="11.140625" style="4" customWidth="1"/>
    <col min="2" max="2" width="69.7109375" style="4" customWidth="1"/>
    <col min="3" max="3" width="21.85546875" style="4" hidden="1" customWidth="1"/>
    <col min="4" max="5" width="21.28515625" style="4" customWidth="1"/>
    <col min="6" max="6" width="21.28515625" style="28" customWidth="1"/>
    <col min="7" max="16384" width="9.140625" style="4"/>
  </cols>
  <sheetData>
    <row r="1" spans="1:9" ht="27" customHeight="1" x14ac:dyDescent="0.3">
      <c r="A1" s="2510" t="str">
        <f>Tartalomjegyzék_2017!A1</f>
        <v>Pilisvörösvár Város Önkormányzata Képviselő-testületének 7/2018. (IV. 27.) önkormányzati rendelete</v>
      </c>
      <c r="B1" s="2510"/>
      <c r="C1" s="2513"/>
      <c r="D1" s="2513"/>
      <c r="E1" s="2504"/>
      <c r="F1" s="936"/>
    </row>
    <row r="2" spans="1:9" ht="18.75" x14ac:dyDescent="0.3">
      <c r="A2" s="2510" t="str">
        <f>'18. Pe. átad. és tám. (K5)'!A2:E2</f>
        <v>az Önkormányzat  2017. évi zárszámadásáról</v>
      </c>
      <c r="B2" s="2510"/>
      <c r="C2" s="2513"/>
      <c r="D2" s="2513"/>
      <c r="E2" s="2504"/>
      <c r="F2" s="949"/>
    </row>
    <row r="3" spans="1:9" s="18" customFormat="1" ht="18.75" x14ac:dyDescent="0.3">
      <c r="A3" s="2512"/>
      <c r="B3" s="2512"/>
      <c r="C3" s="7"/>
      <c r="D3" s="7"/>
      <c r="E3" s="7"/>
      <c r="F3" s="950"/>
    </row>
    <row r="4" spans="1:9" s="18" customFormat="1" ht="18.75" customHeight="1" x14ac:dyDescent="0.3">
      <c r="A4" s="2510" t="str">
        <f>Tartalomjegyzék_2017!B26</f>
        <v>Pilisvörösvár Város Önkormányzata tartalékai</v>
      </c>
      <c r="B4" s="2510"/>
      <c r="C4" s="2513"/>
      <c r="D4" s="2513"/>
      <c r="E4" s="2504"/>
      <c r="F4" s="949"/>
    </row>
    <row r="5" spans="1:9" s="18" customFormat="1" x14ac:dyDescent="0.25">
      <c r="A5" s="598"/>
      <c r="B5" s="598"/>
      <c r="C5" s="591"/>
      <c r="D5" s="591"/>
      <c r="E5" s="876"/>
      <c r="F5" s="936"/>
    </row>
    <row r="6" spans="1:9" s="18" customFormat="1" ht="18.75" x14ac:dyDescent="0.3">
      <c r="A6" s="605"/>
      <c r="B6" s="605"/>
      <c r="C6" s="604"/>
      <c r="E6" s="606" t="s">
        <v>1124</v>
      </c>
      <c r="F6" s="606"/>
    </row>
    <row r="7" spans="1:9" s="18" customFormat="1" ht="16.5" customHeight="1" x14ac:dyDescent="0.25">
      <c r="A7" s="135"/>
      <c r="B7" s="136"/>
      <c r="E7" s="262"/>
      <c r="F7" s="951"/>
    </row>
    <row r="8" spans="1:9" s="18" customFormat="1" ht="19.5" thickBot="1" x14ac:dyDescent="0.35">
      <c r="A8" s="59"/>
      <c r="B8" s="60"/>
      <c r="E8" s="749" t="s">
        <v>323</v>
      </c>
      <c r="F8" s="952"/>
    </row>
    <row r="9" spans="1:9" ht="83.25" customHeight="1" thickBot="1" x14ac:dyDescent="0.3">
      <c r="A9" s="611" t="s">
        <v>60</v>
      </c>
      <c r="B9" s="62" t="s">
        <v>359</v>
      </c>
      <c r="C9" s="63" t="s">
        <v>632</v>
      </c>
      <c r="D9" s="63" t="str">
        <f>'18. Pe. átad. és tám. (K5)'!E8</f>
        <v>Önkormányzat 2017. évi eredeti előirányzat</v>
      </c>
      <c r="E9" s="1534" t="str">
        <f>'18. Pe. átad. és tám. (K5)'!F8</f>
        <v>Önkormányzat 2017. évi módosított előirányzat 2017.12.31</v>
      </c>
      <c r="F9" s="613"/>
    </row>
    <row r="10" spans="1:9" s="18" customFormat="1" ht="30.75" customHeight="1" x14ac:dyDescent="0.25">
      <c r="A10" s="787">
        <v>1</v>
      </c>
      <c r="B10" s="421" t="s">
        <v>786</v>
      </c>
      <c r="C10" s="533">
        <v>75101</v>
      </c>
      <c r="D10" s="533">
        <f>75101+9720-5010</f>
        <v>79811</v>
      </c>
      <c r="E10" s="1535">
        <f>D10</f>
        <v>79811</v>
      </c>
      <c r="F10" s="953"/>
      <c r="G10" s="4"/>
    </row>
    <row r="11" spans="1:9" s="18" customFormat="1" ht="30.75" hidden="1" customHeight="1" thickBot="1" x14ac:dyDescent="0.3">
      <c r="A11" s="787"/>
      <c r="B11" s="61" t="s">
        <v>476</v>
      </c>
      <c r="C11" s="534"/>
      <c r="D11" s="533"/>
      <c r="E11" s="1535"/>
      <c r="F11" s="953"/>
    </row>
    <row r="12" spans="1:9" s="18" customFormat="1" ht="30.75" customHeight="1" x14ac:dyDescent="0.25">
      <c r="A12" s="787">
        <v>2</v>
      </c>
      <c r="B12" s="495" t="s">
        <v>791</v>
      </c>
      <c r="C12" s="534">
        <v>200</v>
      </c>
      <c r="D12" s="533">
        <v>132</v>
      </c>
      <c r="E12" s="1535">
        <f>D12-83+83</f>
        <v>132</v>
      </c>
      <c r="F12" s="953"/>
      <c r="H12" s="2371"/>
      <c r="I12" s="4"/>
    </row>
    <row r="13" spans="1:9" s="18" customFormat="1" ht="30.75" customHeight="1" x14ac:dyDescent="0.25">
      <c r="A13" s="787">
        <v>3</v>
      </c>
      <c r="B13" s="421" t="s">
        <v>787</v>
      </c>
      <c r="C13" s="533">
        <v>600</v>
      </c>
      <c r="D13" s="533">
        <f>84+455+3700</f>
        <v>4239</v>
      </c>
      <c r="E13" s="1535">
        <f>D13-539-3628</f>
        <v>72</v>
      </c>
      <c r="F13" s="953"/>
      <c r="G13" s="4"/>
    </row>
    <row r="14" spans="1:9" s="18" customFormat="1" ht="30.75" customHeight="1" x14ac:dyDescent="0.25">
      <c r="A14" s="787">
        <v>4</v>
      </c>
      <c r="B14" s="421" t="s">
        <v>788</v>
      </c>
      <c r="C14" s="533">
        <v>3500</v>
      </c>
      <c r="D14" s="533">
        <f>200+200</f>
        <v>400</v>
      </c>
      <c r="E14" s="1535">
        <f>D14-179</f>
        <v>221</v>
      </c>
      <c r="F14" s="953"/>
      <c r="G14" s="4"/>
    </row>
    <row r="15" spans="1:9" s="18" customFormat="1" ht="30.75" customHeight="1" x14ac:dyDescent="0.25">
      <c r="A15" s="787">
        <v>5</v>
      </c>
      <c r="B15" s="421" t="s">
        <v>790</v>
      </c>
      <c r="C15" s="533">
        <v>2200</v>
      </c>
      <c r="D15" s="533">
        <f>948+1500+700</f>
        <v>3148</v>
      </c>
      <c r="E15" s="1535">
        <f>D15-2448</f>
        <v>700</v>
      </c>
      <c r="F15" s="953"/>
      <c r="G15" s="4"/>
    </row>
    <row r="16" spans="1:9" s="18" customFormat="1" ht="30.75" customHeight="1" x14ac:dyDescent="0.25">
      <c r="A16" s="787">
        <v>6</v>
      </c>
      <c r="B16" s="421" t="s">
        <v>816</v>
      </c>
      <c r="C16" s="533">
        <v>5000</v>
      </c>
      <c r="D16" s="533">
        <v>3232</v>
      </c>
      <c r="E16" s="1535">
        <f t="shared" ref="E16" si="0">D16</f>
        <v>3232</v>
      </c>
      <c r="F16" s="953"/>
      <c r="G16" s="4"/>
    </row>
    <row r="17" spans="1:7" s="18" customFormat="1" ht="30.75" customHeight="1" x14ac:dyDescent="0.25">
      <c r="A17" s="787">
        <v>7</v>
      </c>
      <c r="B17" s="420" t="s">
        <v>812</v>
      </c>
      <c r="C17" s="533">
        <v>8000</v>
      </c>
      <c r="D17" s="533">
        <f>67113-400</f>
        <v>66713</v>
      </c>
      <c r="E17" s="1535">
        <f>D17-66713</f>
        <v>0</v>
      </c>
      <c r="F17" s="953"/>
      <c r="G17" s="4"/>
    </row>
    <row r="18" spans="1:7" s="18" customFormat="1" ht="30.75" customHeight="1" x14ac:dyDescent="0.25">
      <c r="A18" s="787">
        <v>8</v>
      </c>
      <c r="B18" s="420" t="s">
        <v>811</v>
      </c>
      <c r="C18" s="533">
        <v>50000</v>
      </c>
      <c r="D18" s="533">
        <v>10000</v>
      </c>
      <c r="E18" s="1535">
        <f>D18-9000-1000</f>
        <v>0</v>
      </c>
      <c r="F18" s="953"/>
      <c r="G18" s="4"/>
    </row>
    <row r="19" spans="1:7" s="18" customFormat="1" ht="30.75" customHeight="1" x14ac:dyDescent="0.25">
      <c r="A19" s="787">
        <v>9</v>
      </c>
      <c r="B19" s="420" t="s">
        <v>962</v>
      </c>
      <c r="C19" s="533">
        <v>60000</v>
      </c>
      <c r="D19" s="533">
        <v>10000</v>
      </c>
      <c r="E19" s="1535">
        <f>D19-10000+5153-5022-131</f>
        <v>0</v>
      </c>
      <c r="F19" s="953"/>
      <c r="G19" s="4"/>
    </row>
    <row r="20" spans="1:7" s="18" customFormat="1" ht="30.75" customHeight="1" thickBot="1" x14ac:dyDescent="0.3">
      <c r="A20" s="787">
        <v>10</v>
      </c>
      <c r="B20" s="420" t="s">
        <v>969</v>
      </c>
      <c r="C20" s="533">
        <v>6832</v>
      </c>
      <c r="D20" s="533">
        <v>2000</v>
      </c>
      <c r="E20" s="1535">
        <f>D20-1629-371</f>
        <v>0</v>
      </c>
      <c r="F20" s="953"/>
      <c r="G20" s="4"/>
    </row>
    <row r="21" spans="1:7" ht="30.75" customHeight="1" thickBot="1" x14ac:dyDescent="0.3">
      <c r="A21" s="842">
        <v>11</v>
      </c>
      <c r="B21" s="137" t="s">
        <v>474</v>
      </c>
      <c r="C21" s="535">
        <v>298133</v>
      </c>
      <c r="D21" s="535">
        <f>SUM(D10:D20)</f>
        <v>179675</v>
      </c>
      <c r="E21" s="1536">
        <f>SUM(E10:E20)</f>
        <v>84168</v>
      </c>
      <c r="F21" s="954"/>
    </row>
    <row r="22" spans="1:7" s="18" customFormat="1" ht="30.75" customHeight="1" x14ac:dyDescent="0.25">
      <c r="A22" s="843">
        <v>12</v>
      </c>
      <c r="B22" s="476" t="s">
        <v>789</v>
      </c>
      <c r="C22" s="536">
        <v>579</v>
      </c>
      <c r="D22" s="536">
        <v>744</v>
      </c>
      <c r="E22" s="1537">
        <f>D22-744</f>
        <v>0</v>
      </c>
      <c r="F22" s="953"/>
    </row>
    <row r="23" spans="1:7" s="18" customFormat="1" ht="30.75" customHeight="1" x14ac:dyDescent="0.25">
      <c r="A23" s="844">
        <v>13</v>
      </c>
      <c r="B23" s="421" t="s">
        <v>762</v>
      </c>
      <c r="C23" s="533">
        <v>927</v>
      </c>
      <c r="D23" s="533">
        <v>868</v>
      </c>
      <c r="E23" s="1535">
        <f>D23-868</f>
        <v>0</v>
      </c>
      <c r="F23" s="953"/>
      <c r="G23" s="4"/>
    </row>
    <row r="24" spans="1:7" s="18" customFormat="1" ht="30.75" customHeight="1" thickBot="1" x14ac:dyDescent="0.3">
      <c r="A24" s="844">
        <v>14</v>
      </c>
      <c r="B24" s="421" t="s">
        <v>763</v>
      </c>
      <c r="C24" s="533">
        <v>65</v>
      </c>
      <c r="D24" s="533">
        <v>67</v>
      </c>
      <c r="E24" s="1535">
        <f>D24-67</f>
        <v>0</v>
      </c>
      <c r="F24" s="953"/>
      <c r="G24" s="4"/>
    </row>
    <row r="25" spans="1:7" ht="30.75" customHeight="1" thickBot="1" x14ac:dyDescent="0.3">
      <c r="A25" s="842">
        <v>15</v>
      </c>
      <c r="B25" s="137" t="s">
        <v>475</v>
      </c>
      <c r="C25" s="535">
        <v>1571</v>
      </c>
      <c r="D25" s="535">
        <f>SUM(D22:D24)</f>
        <v>1679</v>
      </c>
      <c r="E25" s="1536">
        <f>SUM(E22:E24)</f>
        <v>0</v>
      </c>
      <c r="F25" s="954"/>
    </row>
    <row r="26" spans="1:7" ht="30.75" customHeight="1" thickBot="1" x14ac:dyDescent="0.3">
      <c r="A26" s="842">
        <v>16</v>
      </c>
      <c r="B26" s="137" t="s">
        <v>445</v>
      </c>
      <c r="C26" s="535">
        <v>18000</v>
      </c>
      <c r="D26" s="535">
        <v>17100</v>
      </c>
      <c r="E26" s="1536">
        <f>D26-402-1800-381-50-3886-716-1000-2000+4018-2551+10000-969+508-1800-4189+5341-2000-2357-704-620+2617+1+6105-480-2195-4286-1750+2707-425-671-970-7578-785-2718-106+2316+1018+794+2035+118+4286+12077-13254+1405+912+1075+13730-940-2377+2035+1187+1</f>
        <v>27426</v>
      </c>
      <c r="F26" s="954"/>
    </row>
    <row r="27" spans="1:7" ht="30.75" customHeight="1" thickBot="1" x14ac:dyDescent="0.3">
      <c r="A27" s="845">
        <v>17</v>
      </c>
      <c r="B27" s="138" t="s">
        <v>860</v>
      </c>
      <c r="C27" s="537">
        <f>C21+C25+C26</f>
        <v>317704</v>
      </c>
      <c r="D27" s="537">
        <f>D21+D25+D26</f>
        <v>198454</v>
      </c>
      <c r="E27" s="1538">
        <f>E21+E25+E26</f>
        <v>111594</v>
      </c>
      <c r="F27" s="955"/>
    </row>
    <row r="30" spans="1:7" x14ac:dyDescent="0.25">
      <c r="G30" s="465"/>
    </row>
    <row r="32" spans="1:7" x14ac:dyDescent="0.25">
      <c r="G32" s="465"/>
    </row>
    <row r="34" ht="15" customHeight="1" x14ac:dyDescent="0.25"/>
  </sheetData>
  <mergeCells count="4">
    <mergeCell ref="A3:B3"/>
    <mergeCell ref="A1:E1"/>
    <mergeCell ref="A2:E2"/>
    <mergeCell ref="A4:E4"/>
  </mergeCells>
  <phoneticPr fontId="62" type="noConversion"/>
  <pageMargins left="0.75" right="0.75" top="1" bottom="1" header="0.5" footer="0.5"/>
  <pageSetup paperSize="9" scale="7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Munka26">
    <tabColor theme="3" tint="-0.249977111117893"/>
    <pageSetUpPr fitToPage="1"/>
  </sheetPr>
  <dimension ref="A1:U80"/>
  <sheetViews>
    <sheetView view="pageBreakPreview" zoomScale="30" zoomScaleSheetLayoutView="30" workbookViewId="0">
      <selection activeCell="A2" sqref="A2:O2"/>
    </sheetView>
  </sheetViews>
  <sheetFormatPr defaultRowHeight="33" x14ac:dyDescent="0.2"/>
  <cols>
    <col min="1" max="1" width="14.42578125" style="634" customWidth="1"/>
    <col min="2" max="2" width="244.7109375" style="58" customWidth="1"/>
    <col min="3" max="3" width="28.28515625" style="99" hidden="1" customWidth="1"/>
    <col min="4" max="4" width="33.7109375" style="99" customWidth="1"/>
    <col min="5" max="6" width="34.42578125" style="99" customWidth="1"/>
    <col min="7" max="7" width="25.140625" style="99" customWidth="1"/>
    <col min="8" max="8" width="0.42578125" style="58" customWidth="1"/>
    <col min="9" max="9" width="31.7109375" style="58" customWidth="1"/>
    <col min="10" max="11" width="32.42578125" style="58" customWidth="1"/>
    <col min="12" max="12" width="23.85546875" style="58" customWidth="1"/>
    <col min="13" max="13" width="9.42578125" style="58" customWidth="1"/>
    <col min="14" max="14" width="33.5703125" style="956" bestFit="1" customWidth="1"/>
    <col min="15" max="15" width="9.140625" style="58"/>
    <col min="16" max="16" width="19.7109375" style="58" bestFit="1" customWidth="1"/>
    <col min="17" max="17" width="10.85546875" style="58" bestFit="1" customWidth="1"/>
    <col min="18" max="18" width="40.140625" style="58" bestFit="1" customWidth="1"/>
    <col min="19" max="16384" width="9.140625" style="58"/>
  </cols>
  <sheetData>
    <row r="1" spans="1:21" s="298" customFormat="1" ht="46.5" x14ac:dyDescent="0.7">
      <c r="A1" s="2514" t="str">
        <f>Tartalomjegyzék_2017!A1</f>
        <v>Pilisvörösvár Város Önkormányzata Képviselő-testületének 7/2018. (IV. 27.) önkormányzati rendelete</v>
      </c>
      <c r="B1" s="2514"/>
      <c r="C1" s="2514"/>
      <c r="D1" s="2514"/>
      <c r="E1" s="2514"/>
      <c r="F1" s="2514"/>
      <c r="G1" s="2514"/>
      <c r="H1" s="2514"/>
      <c r="I1" s="2514"/>
      <c r="J1" s="2514"/>
      <c r="K1" s="2514"/>
      <c r="L1" s="2514"/>
      <c r="M1" s="2515"/>
      <c r="N1" s="956"/>
    </row>
    <row r="2" spans="1:21" s="298" customFormat="1" ht="46.5" x14ac:dyDescent="0.7">
      <c r="A2" s="2514" t="str">
        <f>'19. Tartalékok (K512)'!A2:D2</f>
        <v>az Önkormányzat  2017. évi zárszámadásáról</v>
      </c>
      <c r="B2" s="2514"/>
      <c r="C2" s="2514"/>
      <c r="D2" s="2514"/>
      <c r="E2" s="2514"/>
      <c r="F2" s="2514"/>
      <c r="G2" s="2514"/>
      <c r="H2" s="2514"/>
      <c r="I2" s="2514"/>
      <c r="J2" s="2514"/>
      <c r="K2" s="2514"/>
      <c r="L2" s="2514"/>
      <c r="M2" s="2515"/>
      <c r="N2" s="956"/>
    </row>
    <row r="3" spans="1:21" s="298" customFormat="1" ht="45" x14ac:dyDescent="0.6">
      <c r="A3" s="1894"/>
      <c r="B3" s="1895"/>
      <c r="C3" s="1895"/>
      <c r="D3" s="1895"/>
      <c r="E3" s="1895"/>
      <c r="F3" s="1895"/>
      <c r="G3" s="1895"/>
      <c r="H3" s="1895"/>
      <c r="I3" s="1895"/>
      <c r="J3" s="1895"/>
      <c r="K3" s="1895"/>
      <c r="L3" s="1895"/>
      <c r="M3" s="1895"/>
      <c r="N3" s="956"/>
    </row>
    <row r="4" spans="1:21" ht="46.5" x14ac:dyDescent="0.7">
      <c r="A4" s="2514" t="str">
        <f>Tartalomjegyzék_2017!B27</f>
        <v>Pilisvörösvár Város Önkormányzata felhalmozási (beruházási) kiadásai feladatonként</v>
      </c>
      <c r="B4" s="2514"/>
      <c r="C4" s="2514"/>
      <c r="D4" s="2514"/>
      <c r="E4" s="2514"/>
      <c r="F4" s="2514"/>
      <c r="G4" s="2514"/>
      <c r="H4" s="2514"/>
      <c r="I4" s="2514"/>
      <c r="J4" s="2514"/>
      <c r="K4" s="2514"/>
      <c r="L4" s="2514"/>
      <c r="M4" s="2515"/>
    </row>
    <row r="5" spans="1:21" ht="45.75" x14ac:dyDescent="0.65">
      <c r="A5" s="1894"/>
      <c r="B5" s="1895"/>
      <c r="C5" s="1895"/>
      <c r="D5" s="1895"/>
      <c r="E5" s="1895"/>
      <c r="F5" s="1895"/>
      <c r="G5" s="1895"/>
      <c r="H5" s="1895"/>
      <c r="I5" s="1039"/>
      <c r="J5" s="1039"/>
      <c r="K5" s="1896"/>
      <c r="L5" s="1897" t="s">
        <v>1125</v>
      </c>
      <c r="M5" s="1896"/>
    </row>
    <row r="6" spans="1:21" ht="45.75" x14ac:dyDescent="0.65">
      <c r="A6" s="1898"/>
      <c r="B6" s="1899"/>
      <c r="C6" s="1899"/>
      <c r="D6" s="1899"/>
      <c r="E6" s="1899"/>
      <c r="F6" s="1899"/>
      <c r="G6" s="1899"/>
      <c r="H6" s="1039"/>
      <c r="I6" s="1039"/>
      <c r="J6" s="1039"/>
      <c r="K6" s="1900"/>
      <c r="L6" s="1900" t="s">
        <v>323</v>
      </c>
      <c r="M6" s="1900"/>
    </row>
    <row r="7" spans="1:21" ht="47.25" thickBot="1" x14ac:dyDescent="0.7">
      <c r="A7" s="2516" t="s">
        <v>457</v>
      </c>
      <c r="B7" s="2517"/>
      <c r="C7" s="2517"/>
      <c r="D7" s="2517"/>
      <c r="E7" s="2517"/>
      <c r="F7" s="2517"/>
      <c r="G7" s="2517"/>
      <c r="H7" s="2518"/>
      <c r="I7" s="2519"/>
      <c r="J7" s="2519"/>
      <c r="K7" s="2519"/>
      <c r="L7" s="2519"/>
      <c r="M7" s="1039"/>
    </row>
    <row r="8" spans="1:21" s="282" customFormat="1" ht="170.25" customHeight="1" thickBot="1" x14ac:dyDescent="0.3">
      <c r="A8" s="1901" t="s">
        <v>3</v>
      </c>
      <c r="B8" s="1902" t="s">
        <v>359</v>
      </c>
      <c r="C8" s="1903" t="s">
        <v>632</v>
      </c>
      <c r="D8" s="1904" t="str">
        <f>'19. Tartalékok (K512)'!D9</f>
        <v>Önkormányzat 2017. évi eredeti előirányzat</v>
      </c>
      <c r="E8" s="1905" t="str">
        <f>'19. Tartalékok (K512)'!E9</f>
        <v>Önkormányzat 2017. évi módosított előirányzat 2017.12.31</v>
      </c>
      <c r="F8" s="1905" t="str">
        <f>'18. Pe. átad. és tám. (K5)'!G8</f>
        <v>Önkormányzat 2017. évi Teljesítés 2017.12.31</v>
      </c>
      <c r="G8" s="1905" t="str">
        <f>'18. Pe. átad. és tám. (K5)'!H8</f>
        <v>Teljesítés %-ban</v>
      </c>
      <c r="H8" s="1905">
        <f>'18. Pe. átad. és tám. (K5)'!I8</f>
        <v>0</v>
      </c>
      <c r="I8" s="1904" t="str">
        <f>'17. Ellátottak p.jutattás (K4)'!J7</f>
        <v>Polgármesteri Hivatal 2017. évi eredeti előirányzat</v>
      </c>
      <c r="J8" s="1905" t="str">
        <f>'17. Ellátottak p.jutattás (K4)'!K7</f>
        <v>Polgármesteri Hivatal 2017. évi módosított előirányzat 2017.12.31.</v>
      </c>
      <c r="K8" s="1905" t="str">
        <f>'17. Ellátottak p.jutattás (K4)'!L7</f>
        <v>Polgármesteri Hivatal  2017. évi Teljesítés 2017.12.31</v>
      </c>
      <c r="L8" s="1906" t="str">
        <f>'17. Ellátottak p.jutattás (K4)'!M7</f>
        <v>Teljesítés %-ban</v>
      </c>
      <c r="M8" s="624"/>
      <c r="N8" s="956"/>
    </row>
    <row r="9" spans="1:21" s="304" customFormat="1" ht="91.5" x14ac:dyDescent="0.35">
      <c r="A9" s="1907">
        <v>1</v>
      </c>
      <c r="B9" s="1542" t="s">
        <v>1557</v>
      </c>
      <c r="C9" s="1099"/>
      <c r="D9" s="1105">
        <v>1143</v>
      </c>
      <c r="E9" s="1020">
        <f>D9</f>
        <v>1143</v>
      </c>
      <c r="F9" s="1020">
        <v>1143</v>
      </c>
      <c r="G9" s="1163">
        <f>F9/E9%</f>
        <v>100</v>
      </c>
      <c r="H9" s="1110"/>
      <c r="I9" s="1105"/>
      <c r="J9" s="1020"/>
      <c r="K9" s="1020"/>
      <c r="L9" s="1021"/>
      <c r="M9" s="625"/>
      <c r="N9" s="2372"/>
      <c r="O9" s="2373"/>
      <c r="P9" s="2373"/>
      <c r="Q9" s="2373"/>
      <c r="R9" s="2373"/>
      <c r="S9" s="2373"/>
      <c r="T9" s="2373"/>
      <c r="U9" s="2373"/>
    </row>
    <row r="10" spans="1:21" s="304" customFormat="1" ht="91.5" x14ac:dyDescent="0.35">
      <c r="A10" s="1907">
        <v>2</v>
      </c>
      <c r="B10" s="1543" t="s">
        <v>852</v>
      </c>
      <c r="C10" s="1099"/>
      <c r="D10" s="1105"/>
      <c r="E10" s="1022">
        <v>4318</v>
      </c>
      <c r="F10" s="1022">
        <v>2476</v>
      </c>
      <c r="G10" s="1164">
        <f t="shared" ref="G10:G71" si="0">F10/E10%</f>
        <v>57.341361741547011</v>
      </c>
      <c r="H10" s="1110"/>
      <c r="I10" s="1105"/>
      <c r="J10" s="1020"/>
      <c r="K10" s="1020"/>
      <c r="L10" s="1021"/>
      <c r="M10" s="625"/>
      <c r="N10" s="2372"/>
      <c r="O10" s="2373"/>
      <c r="P10" s="2373"/>
      <c r="Q10" s="2373"/>
      <c r="R10" s="2373"/>
      <c r="S10" s="2373"/>
      <c r="T10" s="2373"/>
      <c r="U10" s="2373"/>
    </row>
    <row r="11" spans="1:21" s="304" customFormat="1" ht="45.75" x14ac:dyDescent="0.35">
      <c r="A11" s="1907">
        <v>3</v>
      </c>
      <c r="B11" s="1543" t="s">
        <v>1110</v>
      </c>
      <c r="C11" s="1099"/>
      <c r="D11" s="1105"/>
      <c r="E11" s="1022">
        <f>35+9</f>
        <v>44</v>
      </c>
      <c r="F11" s="1022">
        <v>44</v>
      </c>
      <c r="G11" s="1164">
        <f t="shared" si="0"/>
        <v>100</v>
      </c>
      <c r="H11" s="1110"/>
      <c r="I11" s="1105"/>
      <c r="J11" s="1020">
        <f>2+2+1+10+40</f>
        <v>55</v>
      </c>
      <c r="K11" s="1020">
        <f>45*1.27-2</f>
        <v>55.15</v>
      </c>
      <c r="L11" s="1168">
        <f>K11/J11%</f>
        <v>100.27272727272727</v>
      </c>
      <c r="M11" s="625"/>
      <c r="N11" s="2372"/>
      <c r="O11" s="2373"/>
      <c r="P11" s="2373"/>
      <c r="Q11" s="2373"/>
      <c r="R11" s="2373"/>
      <c r="S11" s="2373"/>
      <c r="T11" s="2373"/>
      <c r="U11" s="2373"/>
    </row>
    <row r="12" spans="1:21" s="304" customFormat="1" ht="45.75" x14ac:dyDescent="0.35">
      <c r="A12" s="1907">
        <v>4</v>
      </c>
      <c r="B12" s="1543" t="s">
        <v>1034</v>
      </c>
      <c r="C12" s="1099"/>
      <c r="D12" s="1105"/>
      <c r="E12" s="1022">
        <f>2130+575+1800</f>
        <v>4505</v>
      </c>
      <c r="F12" s="1022">
        <v>1894</v>
      </c>
      <c r="G12" s="1164">
        <f t="shared" si="0"/>
        <v>42.042175360710324</v>
      </c>
      <c r="H12" s="1110"/>
      <c r="I12" s="1105"/>
      <c r="J12" s="1020"/>
      <c r="K12" s="1020"/>
      <c r="L12" s="1021"/>
      <c r="M12" s="625"/>
      <c r="N12" s="2372"/>
      <c r="O12" s="2373"/>
      <c r="P12" s="2373"/>
      <c r="Q12" s="2373"/>
      <c r="R12" s="2373"/>
      <c r="S12" s="2373"/>
      <c r="T12" s="2373"/>
      <c r="U12" s="2373"/>
    </row>
    <row r="13" spans="1:21" s="304" customFormat="1" ht="45.75" x14ac:dyDescent="0.35">
      <c r="A13" s="1907">
        <v>5</v>
      </c>
      <c r="B13" s="1543" t="s">
        <v>1029</v>
      </c>
      <c r="C13" s="1099"/>
      <c r="D13" s="1105"/>
      <c r="E13" s="1022">
        <v>22</v>
      </c>
      <c r="F13" s="1022">
        <v>22</v>
      </c>
      <c r="G13" s="1164">
        <f t="shared" si="0"/>
        <v>100</v>
      </c>
      <c r="H13" s="1110"/>
      <c r="I13" s="1105"/>
      <c r="J13" s="1020"/>
      <c r="K13" s="1020"/>
      <c r="L13" s="1021"/>
      <c r="M13" s="625"/>
      <c r="N13" s="2372"/>
      <c r="O13" s="2373"/>
      <c r="P13" s="2373"/>
      <c r="Q13" s="2373"/>
      <c r="R13" s="2373"/>
      <c r="S13" s="2373"/>
      <c r="T13" s="2373"/>
      <c r="U13" s="2373"/>
    </row>
    <row r="14" spans="1:21" s="304" customFormat="1" ht="91.5" x14ac:dyDescent="0.35">
      <c r="A14" s="1907">
        <v>6</v>
      </c>
      <c r="B14" s="1543" t="s">
        <v>1044</v>
      </c>
      <c r="C14" s="1099"/>
      <c r="D14" s="1105"/>
      <c r="E14" s="1022">
        <f>7578</f>
        <v>7578</v>
      </c>
      <c r="F14" s="1022">
        <v>0</v>
      </c>
      <c r="G14" s="1164">
        <f t="shared" si="0"/>
        <v>0</v>
      </c>
      <c r="H14" s="1110"/>
      <c r="I14" s="1105"/>
      <c r="J14" s="1020"/>
      <c r="K14" s="1020"/>
      <c r="L14" s="1021"/>
      <c r="M14" s="625"/>
      <c r="N14" s="2372"/>
      <c r="O14" s="2373"/>
      <c r="P14" s="2373"/>
      <c r="Q14" s="2373"/>
      <c r="R14" s="2373"/>
      <c r="S14" s="2373"/>
      <c r="T14" s="2373"/>
      <c r="U14" s="2373"/>
    </row>
    <row r="15" spans="1:21" s="304" customFormat="1" ht="45.75" x14ac:dyDescent="0.35">
      <c r="A15" s="1907">
        <v>7</v>
      </c>
      <c r="B15" s="1543" t="s">
        <v>1045</v>
      </c>
      <c r="C15" s="1099"/>
      <c r="D15" s="1105"/>
      <c r="E15" s="1022">
        <v>18000</v>
      </c>
      <c r="F15" s="1022">
        <v>18000</v>
      </c>
      <c r="G15" s="1164">
        <f t="shared" si="0"/>
        <v>100</v>
      </c>
      <c r="H15" s="1110"/>
      <c r="I15" s="1105"/>
      <c r="J15" s="1020"/>
      <c r="K15" s="1020"/>
      <c r="L15" s="1021"/>
      <c r="M15" s="625"/>
      <c r="N15" s="2372"/>
      <c r="O15" s="2373"/>
      <c r="P15" s="2373"/>
      <c r="Q15" s="2373"/>
      <c r="R15" s="2373"/>
      <c r="S15" s="2373"/>
      <c r="T15" s="2373"/>
      <c r="U15" s="2373"/>
    </row>
    <row r="16" spans="1:21" s="304" customFormat="1" ht="45.75" x14ac:dyDescent="0.35">
      <c r="A16" s="1907">
        <v>8</v>
      </c>
      <c r="B16" s="1543" t="s">
        <v>1075</v>
      </c>
      <c r="C16" s="1099"/>
      <c r="D16" s="1105"/>
      <c r="E16" s="1022">
        <v>1524</v>
      </c>
      <c r="F16" s="1022">
        <v>0</v>
      </c>
      <c r="G16" s="1164">
        <f t="shared" si="0"/>
        <v>0</v>
      </c>
      <c r="H16" s="1110"/>
      <c r="I16" s="1105"/>
      <c r="J16" s="1020"/>
      <c r="K16" s="1020"/>
      <c r="L16" s="1021"/>
      <c r="M16" s="625"/>
      <c r="N16" s="2372"/>
      <c r="O16" s="2373"/>
      <c r="P16" s="2373"/>
      <c r="Q16" s="2373"/>
      <c r="R16" s="2373"/>
      <c r="S16" s="2373"/>
      <c r="T16" s="2373"/>
      <c r="U16" s="2373"/>
    </row>
    <row r="17" spans="1:21" s="305" customFormat="1" ht="45" x14ac:dyDescent="0.45">
      <c r="A17" s="1908">
        <v>9</v>
      </c>
      <c r="B17" s="1544" t="s">
        <v>459</v>
      </c>
      <c r="C17" s="1100">
        <f t="shared" ref="C17:I17" si="1">SUM(C9:C9)</f>
        <v>0</v>
      </c>
      <c r="D17" s="1106">
        <f t="shared" si="1"/>
        <v>1143</v>
      </c>
      <c r="E17" s="1023">
        <f>SUM(E9:E16)</f>
        <v>37134</v>
      </c>
      <c r="F17" s="1023">
        <f>SUM(F9:F16)</f>
        <v>23579</v>
      </c>
      <c r="G17" s="1165">
        <f t="shared" si="0"/>
        <v>63.497064684655577</v>
      </c>
      <c r="H17" s="1111">
        <f t="shared" si="1"/>
        <v>0</v>
      </c>
      <c r="I17" s="1106">
        <f t="shared" si="1"/>
        <v>0</v>
      </c>
      <c r="J17" s="1023">
        <f>SUM(J9:J11)</f>
        <v>55</v>
      </c>
      <c r="K17" s="1023">
        <f>SUM(K9:K11)</f>
        <v>55.15</v>
      </c>
      <c r="L17" s="1169">
        <f>K17/J17%</f>
        <v>100.27272727272727</v>
      </c>
      <c r="M17" s="625"/>
      <c r="N17" s="2374"/>
      <c r="O17" s="2375"/>
      <c r="P17" s="2376"/>
      <c r="Q17" s="2375"/>
      <c r="R17" s="2375"/>
      <c r="S17" s="2375"/>
      <c r="T17" s="2375"/>
      <c r="U17" s="2375"/>
    </row>
    <row r="18" spans="1:21" s="305" customFormat="1" ht="45.75" x14ac:dyDescent="0.3">
      <c r="A18" s="1909">
        <v>10</v>
      </c>
      <c r="B18" s="1545" t="s">
        <v>950</v>
      </c>
      <c r="C18" s="1101"/>
      <c r="D18" s="1107">
        <v>4191</v>
      </c>
      <c r="E18" s="1022">
        <f t="shared" ref="E18:F70" si="2">D18</f>
        <v>4191</v>
      </c>
      <c r="F18" s="1022">
        <v>4191</v>
      </c>
      <c r="G18" s="1164">
        <f t="shared" si="0"/>
        <v>100.00000000000001</v>
      </c>
      <c r="H18" s="1112"/>
      <c r="I18" s="1107"/>
      <c r="J18" s="1022"/>
      <c r="K18" s="1022"/>
      <c r="L18" s="1025"/>
      <c r="M18" s="625"/>
      <c r="N18" s="2372"/>
      <c r="O18" s="2375"/>
      <c r="P18" s="2375"/>
      <c r="Q18" s="2375"/>
      <c r="R18" s="2375"/>
      <c r="S18" s="2375"/>
      <c r="T18" s="2375"/>
      <c r="U18" s="2375"/>
    </row>
    <row r="19" spans="1:21" s="305" customFormat="1" ht="45.75" x14ac:dyDescent="0.3">
      <c r="A19" s="1909">
        <v>11</v>
      </c>
      <c r="B19" s="1545" t="s">
        <v>946</v>
      </c>
      <c r="C19" s="1101"/>
      <c r="D19" s="1107">
        <v>2395</v>
      </c>
      <c r="E19" s="1022">
        <f t="shared" si="2"/>
        <v>2395</v>
      </c>
      <c r="F19" s="1022">
        <v>2395</v>
      </c>
      <c r="G19" s="1164">
        <f t="shared" si="0"/>
        <v>100</v>
      </c>
      <c r="H19" s="1112"/>
      <c r="I19" s="1107"/>
      <c r="J19" s="1022"/>
      <c r="K19" s="1022"/>
      <c r="L19" s="1025"/>
      <c r="M19" s="625"/>
      <c r="N19" s="2372"/>
      <c r="O19" s="2375"/>
      <c r="P19" s="2375"/>
      <c r="Q19" s="2375"/>
      <c r="R19" s="2375"/>
      <c r="S19" s="2375"/>
      <c r="T19" s="2375"/>
      <c r="U19" s="2375"/>
    </row>
    <row r="20" spans="1:21" s="305" customFormat="1" ht="91.5" x14ac:dyDescent="0.3">
      <c r="A20" s="1909">
        <v>12</v>
      </c>
      <c r="B20" s="1543" t="s">
        <v>852</v>
      </c>
      <c r="C20" s="1101"/>
      <c r="D20" s="1107">
        <v>4318</v>
      </c>
      <c r="E20" s="1022">
        <v>0</v>
      </c>
      <c r="F20" s="1022">
        <v>0</v>
      </c>
      <c r="G20" s="1164"/>
      <c r="H20" s="1112"/>
      <c r="I20" s="1107"/>
      <c r="J20" s="1022"/>
      <c r="K20" s="1022"/>
      <c r="L20" s="1025"/>
      <c r="M20" s="625"/>
      <c r="N20" s="2374"/>
      <c r="O20" s="2375"/>
      <c r="P20" s="2375"/>
      <c r="Q20" s="2375"/>
      <c r="R20" s="2375"/>
      <c r="S20" s="2375"/>
      <c r="T20" s="2375"/>
      <c r="U20" s="2375"/>
    </row>
    <row r="21" spans="1:21" s="305" customFormat="1" ht="91.5" x14ac:dyDescent="0.3">
      <c r="A21" s="1909">
        <v>13</v>
      </c>
      <c r="B21" s="1546" t="s">
        <v>947</v>
      </c>
      <c r="C21" s="1101"/>
      <c r="D21" s="1107">
        <v>699</v>
      </c>
      <c r="E21" s="1022">
        <f t="shared" si="2"/>
        <v>699</v>
      </c>
      <c r="F21" s="1022">
        <v>699</v>
      </c>
      <c r="G21" s="1164">
        <f t="shared" si="0"/>
        <v>100</v>
      </c>
      <c r="H21" s="1112"/>
      <c r="I21" s="1107"/>
      <c r="J21" s="1022"/>
      <c r="K21" s="1022"/>
      <c r="L21" s="1025"/>
      <c r="M21" s="625"/>
      <c r="N21" s="2372"/>
      <c r="O21" s="2375"/>
      <c r="P21" s="2375"/>
      <c r="Q21" s="2375"/>
      <c r="R21" s="2375"/>
      <c r="S21" s="2375"/>
      <c r="T21" s="2375"/>
      <c r="U21" s="2375"/>
    </row>
    <row r="22" spans="1:21" s="304" customFormat="1" ht="91.5" x14ac:dyDescent="0.35">
      <c r="A22" s="1909">
        <v>14</v>
      </c>
      <c r="B22" s="1546" t="s">
        <v>965</v>
      </c>
      <c r="C22" s="1101"/>
      <c r="D22" s="1107">
        <v>5805</v>
      </c>
      <c r="E22" s="1022">
        <f>D22-4571-1234</f>
        <v>0</v>
      </c>
      <c r="F22" s="1022">
        <v>0</v>
      </c>
      <c r="G22" s="1164"/>
      <c r="H22" s="1113"/>
      <c r="I22" s="1107"/>
      <c r="J22" s="1022"/>
      <c r="K22" s="1022"/>
      <c r="L22" s="1025"/>
      <c r="M22" s="625"/>
      <c r="N22" s="2372"/>
      <c r="O22" s="2373"/>
      <c r="P22" s="2373"/>
      <c r="Q22" s="2373"/>
      <c r="R22" s="2373"/>
      <c r="S22" s="2373"/>
      <c r="T22" s="2373"/>
      <c r="U22" s="2373"/>
    </row>
    <row r="23" spans="1:21" s="304" customFormat="1" ht="51.75" customHeight="1" x14ac:dyDescent="0.35">
      <c r="A23" s="1909">
        <v>15</v>
      </c>
      <c r="B23" s="1546" t="s">
        <v>989</v>
      </c>
      <c r="C23" s="1101"/>
      <c r="D23" s="1107">
        <v>32092</v>
      </c>
      <c r="E23" s="1022">
        <f>D23-331-89-2776-750-20413-5512-1482-401-338</f>
        <v>0</v>
      </c>
      <c r="F23" s="1022">
        <v>0</v>
      </c>
      <c r="G23" s="1164"/>
      <c r="H23" s="1112"/>
      <c r="I23" s="1107"/>
      <c r="J23" s="1022"/>
      <c r="K23" s="1022"/>
      <c r="L23" s="1025"/>
      <c r="M23" s="625"/>
      <c r="N23" s="2372"/>
      <c r="O23" s="2373"/>
      <c r="P23" s="2373"/>
      <c r="Q23" s="2373"/>
      <c r="R23" s="2373"/>
      <c r="S23" s="2373"/>
      <c r="T23" s="2373"/>
      <c r="U23" s="2373"/>
    </row>
    <row r="24" spans="1:21" s="304" customFormat="1" ht="45.75" x14ac:dyDescent="0.35">
      <c r="A24" s="1909">
        <v>16</v>
      </c>
      <c r="B24" s="1546" t="s">
        <v>768</v>
      </c>
      <c r="C24" s="1101"/>
      <c r="D24" s="1107">
        <v>26738</v>
      </c>
      <c r="E24" s="1022">
        <f>D24-4804+132-215-1115-301-176-47-1140-308</f>
        <v>18764</v>
      </c>
      <c r="F24" s="1022">
        <v>18640</v>
      </c>
      <c r="G24" s="1164">
        <f t="shared" si="0"/>
        <v>99.339160093796636</v>
      </c>
      <c r="H24" s="1112"/>
      <c r="I24" s="1107"/>
      <c r="J24" s="1022"/>
      <c r="K24" s="1022"/>
      <c r="L24" s="1025"/>
      <c r="M24" s="625"/>
      <c r="N24" s="2372"/>
      <c r="O24" s="2373"/>
      <c r="P24" s="2373"/>
      <c r="Q24" s="2373"/>
      <c r="R24" s="2373"/>
      <c r="S24" s="2373"/>
      <c r="T24" s="2373"/>
      <c r="U24" s="2373"/>
    </row>
    <row r="25" spans="1:21" s="304" customFormat="1" ht="45.75" x14ac:dyDescent="0.35">
      <c r="A25" s="1909">
        <v>17</v>
      </c>
      <c r="B25" s="1545" t="s">
        <v>964</v>
      </c>
      <c r="C25" s="1101"/>
      <c r="D25" s="1107">
        <v>35000</v>
      </c>
      <c r="E25" s="1022">
        <f>D25-35000</f>
        <v>0</v>
      </c>
      <c r="F25" s="1022">
        <v>0</v>
      </c>
      <c r="G25" s="1164"/>
      <c r="H25" s="1113"/>
      <c r="I25" s="1107"/>
      <c r="J25" s="1022"/>
      <c r="K25" s="1022"/>
      <c r="L25" s="1025"/>
      <c r="M25" s="625"/>
      <c r="N25" s="2372"/>
      <c r="O25" s="2373"/>
      <c r="P25" s="2373"/>
      <c r="Q25" s="2373"/>
      <c r="R25" s="2373"/>
      <c r="S25" s="2373"/>
      <c r="T25" s="2373"/>
      <c r="U25" s="2373"/>
    </row>
    <row r="26" spans="1:21" s="304" customFormat="1" ht="45.75" x14ac:dyDescent="0.35">
      <c r="A26" s="1909">
        <v>18</v>
      </c>
      <c r="B26" s="1547" t="s">
        <v>987</v>
      </c>
      <c r="C26" s="1101"/>
      <c r="D26" s="1107">
        <v>12500</v>
      </c>
      <c r="E26" s="1022">
        <f>D26+1482+401+790+213</f>
        <v>15386</v>
      </c>
      <c r="F26" s="1022">
        <v>14790</v>
      </c>
      <c r="G26" s="1164">
        <f t="shared" si="0"/>
        <v>96.126348628623418</v>
      </c>
      <c r="H26" s="1113"/>
      <c r="I26" s="1107"/>
      <c r="J26" s="1022"/>
      <c r="K26" s="1022"/>
      <c r="L26" s="1025"/>
      <c r="M26" s="625"/>
      <c r="N26" s="2372"/>
      <c r="O26" s="2373"/>
      <c r="P26" s="2373"/>
      <c r="Q26" s="2373"/>
      <c r="R26" s="2373"/>
      <c r="S26" s="2373"/>
      <c r="T26" s="2373"/>
      <c r="U26" s="2373"/>
    </row>
    <row r="27" spans="1:21" s="304" customFormat="1" ht="137.25" x14ac:dyDescent="0.65">
      <c r="A27" s="1909">
        <v>19</v>
      </c>
      <c r="B27" s="1542" t="s">
        <v>998</v>
      </c>
      <c r="C27" s="1101"/>
      <c r="D27" s="1107">
        <f>35000+31451+37000+1000</f>
        <v>104451</v>
      </c>
      <c r="E27" s="1022">
        <f>D27-810-219+20413+5512-27832-7514-12077-2861-13851-27-7-1</f>
        <v>65177</v>
      </c>
      <c r="F27" s="1022">
        <f>64294-F19</f>
        <v>61899</v>
      </c>
      <c r="G27" s="1164">
        <f t="shared" si="0"/>
        <v>94.97061846970557</v>
      </c>
      <c r="H27" s="1113"/>
      <c r="I27" s="1107"/>
      <c r="J27" s="1022"/>
      <c r="K27" s="1022"/>
      <c r="L27" s="1025"/>
      <c r="M27" s="625"/>
      <c r="N27" s="2372"/>
      <c r="O27" s="2373"/>
      <c r="P27" s="1011"/>
      <c r="Q27" s="2377"/>
      <c r="R27" s="2378"/>
      <c r="S27" s="2373"/>
      <c r="T27" s="2373"/>
      <c r="U27" s="2373"/>
    </row>
    <row r="28" spans="1:21" s="304" customFormat="1" ht="45.75" x14ac:dyDescent="0.5">
      <c r="A28" s="1909">
        <v>20</v>
      </c>
      <c r="B28" s="1542" t="s">
        <v>1043</v>
      </c>
      <c r="C28" s="1101"/>
      <c r="D28" s="1107"/>
      <c r="E28" s="1022">
        <f>27832+7514+30118+8132-15646</f>
        <v>57950</v>
      </c>
      <c r="F28" s="1022">
        <v>57950</v>
      </c>
      <c r="G28" s="1164">
        <f t="shared" si="0"/>
        <v>100</v>
      </c>
      <c r="H28" s="1113"/>
      <c r="I28" s="1107"/>
      <c r="J28" s="1022"/>
      <c r="K28" s="1022"/>
      <c r="L28" s="1025"/>
      <c r="M28" s="625"/>
      <c r="N28" s="2372"/>
      <c r="O28" s="2373"/>
      <c r="P28" s="1011"/>
      <c r="Q28" s="2373"/>
      <c r="R28" s="2379"/>
      <c r="S28" s="2373"/>
      <c r="T28" s="2373"/>
      <c r="U28" s="2373"/>
    </row>
    <row r="29" spans="1:21" s="304" customFormat="1" ht="45.75" x14ac:dyDescent="0.35">
      <c r="A29" s="1909">
        <v>21</v>
      </c>
      <c r="B29" s="1546" t="s">
        <v>959</v>
      </c>
      <c r="C29" s="1101"/>
      <c r="D29" s="1107">
        <v>10000</v>
      </c>
      <c r="E29" s="1022">
        <f>D29+2116+571</f>
        <v>12687</v>
      </c>
      <c r="F29" s="1022">
        <v>12687</v>
      </c>
      <c r="G29" s="1164">
        <f t="shared" si="0"/>
        <v>100</v>
      </c>
      <c r="H29" s="1112"/>
      <c r="I29" s="1107"/>
      <c r="J29" s="1022"/>
      <c r="K29" s="1022"/>
      <c r="L29" s="1025"/>
      <c r="M29" s="625"/>
      <c r="N29" s="2372"/>
      <c r="O29" s="2373"/>
      <c r="P29" s="2373"/>
      <c r="Q29" s="2373"/>
      <c r="R29" s="2373"/>
      <c r="S29" s="2373"/>
      <c r="T29" s="2373"/>
      <c r="U29" s="2373"/>
    </row>
    <row r="30" spans="1:21" s="304" customFormat="1" ht="91.5" x14ac:dyDescent="0.35">
      <c r="A30" s="1909">
        <v>22</v>
      </c>
      <c r="B30" s="1542" t="s">
        <v>988</v>
      </c>
      <c r="C30" s="1101"/>
      <c r="D30" s="1107">
        <v>1500</v>
      </c>
      <c r="E30" s="1022">
        <f t="shared" si="2"/>
        <v>1500</v>
      </c>
      <c r="F30" s="1022">
        <v>0</v>
      </c>
      <c r="G30" s="1164">
        <f t="shared" si="0"/>
        <v>0</v>
      </c>
      <c r="H30" s="1112"/>
      <c r="I30" s="1107"/>
      <c r="J30" s="1022"/>
      <c r="K30" s="1022"/>
      <c r="L30" s="1025"/>
      <c r="M30" s="625"/>
      <c r="N30" s="2372"/>
      <c r="O30" s="2373"/>
      <c r="P30" s="2373"/>
      <c r="Q30" s="2373"/>
      <c r="R30" s="2373"/>
      <c r="S30" s="2373"/>
      <c r="T30" s="2373"/>
      <c r="U30" s="2373"/>
    </row>
    <row r="31" spans="1:21" s="304" customFormat="1" ht="45.75" x14ac:dyDescent="0.35">
      <c r="A31" s="1909">
        <v>23</v>
      </c>
      <c r="B31" s="1545" t="s">
        <v>960</v>
      </c>
      <c r="C31" s="1101"/>
      <c r="D31" s="1107">
        <v>1000</v>
      </c>
      <c r="E31" s="1022">
        <f t="shared" si="2"/>
        <v>1000</v>
      </c>
      <c r="F31" s="1022">
        <v>0</v>
      </c>
      <c r="G31" s="1164">
        <f t="shared" si="0"/>
        <v>0</v>
      </c>
      <c r="H31" s="1112"/>
      <c r="I31" s="1107"/>
      <c r="J31" s="1022"/>
      <c r="K31" s="1022"/>
      <c r="L31" s="1025"/>
      <c r="M31" s="625"/>
      <c r="N31" s="2372"/>
      <c r="O31" s="2373"/>
      <c r="P31" s="2373"/>
      <c r="Q31" s="2373"/>
      <c r="R31" s="2373"/>
      <c r="S31" s="2373"/>
      <c r="T31" s="2373"/>
      <c r="U31" s="2373"/>
    </row>
    <row r="32" spans="1:21" s="304" customFormat="1" ht="45.75" x14ac:dyDescent="0.35">
      <c r="A32" s="1909">
        <v>24</v>
      </c>
      <c r="B32" s="1545" t="s">
        <v>961</v>
      </c>
      <c r="C32" s="1101"/>
      <c r="D32" s="1107">
        <v>1500</v>
      </c>
      <c r="E32" s="1022">
        <f>D32-421</f>
        <v>1079</v>
      </c>
      <c r="F32" s="1022">
        <v>0</v>
      </c>
      <c r="G32" s="1164">
        <f t="shared" si="0"/>
        <v>0</v>
      </c>
      <c r="H32" s="1112"/>
      <c r="I32" s="1107"/>
      <c r="J32" s="1022"/>
      <c r="K32" s="1022"/>
      <c r="L32" s="1025"/>
      <c r="M32" s="625"/>
      <c r="N32" s="2372"/>
      <c r="O32" s="2373"/>
      <c r="P32" s="2373"/>
      <c r="Q32" s="2373"/>
      <c r="R32" s="2373"/>
      <c r="S32" s="2373"/>
      <c r="T32" s="2373"/>
      <c r="U32" s="2373"/>
    </row>
    <row r="33" spans="1:21" s="304" customFormat="1" ht="45.75" x14ac:dyDescent="0.35">
      <c r="A33" s="1909">
        <v>25</v>
      </c>
      <c r="B33" s="1545" t="s">
        <v>942</v>
      </c>
      <c r="C33" s="1101"/>
      <c r="D33" s="1107">
        <v>6000</v>
      </c>
      <c r="E33" s="1022">
        <f>D33-4724-1276</f>
        <v>0</v>
      </c>
      <c r="F33" s="1022">
        <v>0</v>
      </c>
      <c r="G33" s="1164"/>
      <c r="H33" s="1112"/>
      <c r="I33" s="1107"/>
      <c r="J33" s="1022"/>
      <c r="K33" s="1022"/>
      <c r="L33" s="1025"/>
      <c r="M33" s="625"/>
      <c r="N33" s="2372"/>
      <c r="O33" s="2373"/>
      <c r="P33" s="2373"/>
      <c r="Q33" s="2373"/>
      <c r="R33" s="2373"/>
      <c r="S33" s="2373"/>
      <c r="T33" s="2373"/>
      <c r="U33" s="2373"/>
    </row>
    <row r="34" spans="1:21" s="304" customFormat="1" ht="91.5" x14ac:dyDescent="0.35">
      <c r="A34" s="1909">
        <v>26</v>
      </c>
      <c r="B34" s="1543" t="s">
        <v>949</v>
      </c>
      <c r="C34" s="1101"/>
      <c r="D34" s="1107">
        <v>2000</v>
      </c>
      <c r="E34" s="1022">
        <f>D34+2906+849</f>
        <v>5755</v>
      </c>
      <c r="F34" s="1022">
        <v>5754</v>
      </c>
      <c r="G34" s="1164">
        <f t="shared" si="0"/>
        <v>99.982623805386623</v>
      </c>
      <c r="H34" s="1112"/>
      <c r="I34" s="1107"/>
      <c r="J34" s="1022"/>
      <c r="K34" s="1022"/>
      <c r="L34" s="1025"/>
      <c r="M34" s="625"/>
      <c r="N34" s="2372"/>
      <c r="O34" s="2373"/>
      <c r="P34" s="2373"/>
      <c r="Q34" s="2373"/>
      <c r="R34" s="2373"/>
      <c r="S34" s="2373"/>
      <c r="T34" s="2373"/>
      <c r="U34" s="2373"/>
    </row>
    <row r="35" spans="1:21" s="304" customFormat="1" ht="45.75" x14ac:dyDescent="0.35">
      <c r="A35" s="1909">
        <v>27</v>
      </c>
      <c r="B35" s="1543" t="s">
        <v>990</v>
      </c>
      <c r="C35" s="1101"/>
      <c r="D35" s="1107">
        <v>1194</v>
      </c>
      <c r="E35" s="1022">
        <f t="shared" si="2"/>
        <v>1194</v>
      </c>
      <c r="F35" s="1022">
        <v>1194</v>
      </c>
      <c r="G35" s="1164">
        <f t="shared" si="0"/>
        <v>100</v>
      </c>
      <c r="H35" s="1112"/>
      <c r="I35" s="1107"/>
      <c r="J35" s="1022"/>
      <c r="K35" s="1022"/>
      <c r="L35" s="1025"/>
      <c r="M35" s="625"/>
      <c r="N35" s="2372"/>
      <c r="O35" s="2373"/>
      <c r="P35" s="2373"/>
      <c r="Q35" s="2373"/>
      <c r="R35" s="2373"/>
      <c r="S35" s="2373"/>
      <c r="T35" s="2373"/>
      <c r="U35" s="2373"/>
    </row>
    <row r="36" spans="1:21" s="304" customFormat="1" ht="59.25" customHeight="1" x14ac:dyDescent="0.35">
      <c r="A36" s="1909">
        <v>28</v>
      </c>
      <c r="B36" s="1543" t="s">
        <v>924</v>
      </c>
      <c r="C36" s="1101"/>
      <c r="D36" s="1107">
        <v>3000</v>
      </c>
      <c r="E36" s="1022">
        <f>D36-1213-311</f>
        <v>1476</v>
      </c>
      <c r="F36" s="1022">
        <v>1476</v>
      </c>
      <c r="G36" s="1164">
        <f t="shared" si="0"/>
        <v>100</v>
      </c>
      <c r="H36" s="1112"/>
      <c r="I36" s="1107"/>
      <c r="J36" s="1022"/>
      <c r="K36" s="1022"/>
      <c r="L36" s="1025"/>
      <c r="M36" s="625"/>
      <c r="N36" s="2372"/>
      <c r="O36" s="2373"/>
      <c r="P36" s="2373"/>
      <c r="Q36" s="2373"/>
      <c r="R36" s="2373"/>
      <c r="S36" s="2373"/>
      <c r="T36" s="2373"/>
      <c r="U36" s="2373"/>
    </row>
    <row r="37" spans="1:21" s="304" customFormat="1" ht="45.75" x14ac:dyDescent="0.35">
      <c r="A37" s="1909">
        <v>29</v>
      </c>
      <c r="B37" s="1543" t="s">
        <v>967</v>
      </c>
      <c r="C37" s="1101"/>
      <c r="D37" s="1107">
        <v>5010</v>
      </c>
      <c r="E37" s="1022">
        <f>D37-1123-263+1</f>
        <v>3625</v>
      </c>
      <c r="F37" s="1022">
        <v>3625</v>
      </c>
      <c r="G37" s="1164">
        <f t="shared" si="0"/>
        <v>100</v>
      </c>
      <c r="H37" s="1112"/>
      <c r="I37" s="1107"/>
      <c r="J37" s="1022"/>
      <c r="K37" s="1022"/>
      <c r="L37" s="1025"/>
      <c r="M37" s="625"/>
      <c r="N37" s="2372"/>
      <c r="O37" s="2373"/>
      <c r="P37" s="2373"/>
      <c r="Q37" s="2373"/>
      <c r="R37" s="2373"/>
      <c r="S37" s="2373"/>
      <c r="T37" s="2373"/>
      <c r="U37" s="2373"/>
    </row>
    <row r="38" spans="1:21" s="304" customFormat="1" ht="91.5" x14ac:dyDescent="0.35">
      <c r="A38" s="1909">
        <v>30</v>
      </c>
      <c r="B38" s="1543" t="s">
        <v>966</v>
      </c>
      <c r="C38" s="1101"/>
      <c r="D38" s="1107">
        <v>2003</v>
      </c>
      <c r="E38" s="1022">
        <f t="shared" si="2"/>
        <v>2003</v>
      </c>
      <c r="F38" s="1022">
        <v>2003</v>
      </c>
      <c r="G38" s="1164">
        <f t="shared" si="0"/>
        <v>100</v>
      </c>
      <c r="H38" s="1112"/>
      <c r="I38" s="1107"/>
      <c r="J38" s="1022"/>
      <c r="K38" s="1022"/>
      <c r="L38" s="1025"/>
      <c r="M38" s="625"/>
      <c r="N38" s="2372"/>
      <c r="O38" s="2373"/>
      <c r="P38" s="2373"/>
      <c r="Q38" s="2373"/>
      <c r="R38" s="2373"/>
      <c r="S38" s="2373"/>
      <c r="T38" s="2373"/>
      <c r="U38" s="2373"/>
    </row>
    <row r="39" spans="1:21" s="304" customFormat="1" ht="45.75" x14ac:dyDescent="0.35">
      <c r="A39" s="1909">
        <v>31</v>
      </c>
      <c r="B39" s="1543" t="s">
        <v>1558</v>
      </c>
      <c r="C39" s="1101"/>
      <c r="D39" s="1107"/>
      <c r="E39" s="1022">
        <f>10000+2076+561</f>
        <v>12637</v>
      </c>
      <c r="F39" s="1022">
        <v>12637</v>
      </c>
      <c r="G39" s="1164">
        <f t="shared" si="0"/>
        <v>100</v>
      </c>
      <c r="H39" s="1112"/>
      <c r="I39" s="1107"/>
      <c r="J39" s="1022"/>
      <c r="K39" s="1022"/>
      <c r="L39" s="1025"/>
      <c r="M39" s="625"/>
      <c r="N39" s="2372"/>
      <c r="O39" s="2373"/>
      <c r="P39" s="2373"/>
      <c r="Q39" s="2373"/>
      <c r="R39" s="2373"/>
      <c r="S39" s="2373"/>
      <c r="T39" s="2373"/>
      <c r="U39" s="2373"/>
    </row>
    <row r="40" spans="1:21" s="304" customFormat="1" ht="45.75" x14ac:dyDescent="0.35">
      <c r="A40" s="1909">
        <v>32</v>
      </c>
      <c r="B40" s="1543" t="s">
        <v>1080</v>
      </c>
      <c r="C40" s="1101"/>
      <c r="D40" s="1107"/>
      <c r="E40" s="1022">
        <f>412+111</f>
        <v>523</v>
      </c>
      <c r="F40" s="1022">
        <v>502</v>
      </c>
      <c r="G40" s="1164">
        <f t="shared" si="0"/>
        <v>95.984703632887175</v>
      </c>
      <c r="H40" s="1112"/>
      <c r="I40" s="1107"/>
      <c r="J40" s="1022"/>
      <c r="K40" s="1022"/>
      <c r="L40" s="1025"/>
      <c r="M40" s="625"/>
      <c r="N40" s="2372"/>
      <c r="O40" s="2373"/>
      <c r="P40" s="2373"/>
      <c r="Q40" s="2373"/>
      <c r="R40" s="2373"/>
      <c r="S40" s="2373"/>
      <c r="T40" s="2373"/>
      <c r="U40" s="2373"/>
    </row>
    <row r="41" spans="1:21" s="304" customFormat="1" ht="45.75" x14ac:dyDescent="0.35">
      <c r="A41" s="1909">
        <v>33</v>
      </c>
      <c r="B41" s="1548" t="s">
        <v>1551</v>
      </c>
      <c r="C41" s="1101"/>
      <c r="D41" s="1107"/>
      <c r="E41" s="1022">
        <f>620</f>
        <v>620</v>
      </c>
      <c r="F41" s="1022">
        <v>620</v>
      </c>
      <c r="G41" s="1164">
        <f t="shared" si="0"/>
        <v>100</v>
      </c>
      <c r="H41" s="1112"/>
      <c r="I41" s="1107"/>
      <c r="J41" s="1022"/>
      <c r="K41" s="1022"/>
      <c r="L41" s="1025"/>
      <c r="M41" s="625"/>
      <c r="N41" s="2380"/>
      <c r="O41" s="2373"/>
      <c r="P41" s="2373"/>
      <c r="Q41" s="2373"/>
      <c r="R41" s="2373"/>
      <c r="S41" s="2373"/>
      <c r="T41" s="2373"/>
      <c r="U41" s="2373"/>
    </row>
    <row r="42" spans="1:21" s="304" customFormat="1" ht="91.5" x14ac:dyDescent="0.35">
      <c r="A42" s="1909">
        <v>34</v>
      </c>
      <c r="B42" s="1548" t="s">
        <v>1038</v>
      </c>
      <c r="C42" s="1101"/>
      <c r="D42" s="1107"/>
      <c r="E42" s="1022">
        <f>4286-4286</f>
        <v>0</v>
      </c>
      <c r="F42" s="1022">
        <v>0</v>
      </c>
      <c r="G42" s="1164"/>
      <c r="H42" s="1112"/>
      <c r="I42" s="1107"/>
      <c r="J42" s="1022"/>
      <c r="K42" s="1022"/>
      <c r="L42" s="1025"/>
      <c r="M42" s="625"/>
      <c r="N42" s="2380"/>
      <c r="O42" s="2373"/>
      <c r="P42" s="2373"/>
      <c r="Q42" s="2373"/>
      <c r="R42" s="2373"/>
      <c r="S42" s="2373"/>
      <c r="T42" s="2373"/>
      <c r="U42" s="2373"/>
    </row>
    <row r="43" spans="1:21" s="304" customFormat="1" ht="45.75" x14ac:dyDescent="0.35">
      <c r="A43" s="1909">
        <v>35</v>
      </c>
      <c r="B43" s="1548" t="s">
        <v>1040</v>
      </c>
      <c r="C43" s="1101"/>
      <c r="D43" s="1107"/>
      <c r="E43" s="1022">
        <v>1750</v>
      </c>
      <c r="F43" s="1022">
        <v>0</v>
      </c>
      <c r="G43" s="1164">
        <f t="shared" si="0"/>
        <v>0</v>
      </c>
      <c r="H43" s="1112"/>
      <c r="I43" s="1107"/>
      <c r="J43" s="1022"/>
      <c r="K43" s="1022"/>
      <c r="L43" s="1025"/>
      <c r="M43" s="625"/>
      <c r="N43" s="2380"/>
      <c r="O43" s="2373"/>
      <c r="P43" s="2373"/>
      <c r="Q43" s="2373"/>
      <c r="R43" s="2373"/>
      <c r="S43" s="2373"/>
      <c r="T43" s="2373"/>
      <c r="U43" s="2373"/>
    </row>
    <row r="44" spans="1:21" s="304" customFormat="1" ht="45.75" x14ac:dyDescent="0.35">
      <c r="A44" s="1909">
        <v>36</v>
      </c>
      <c r="B44" s="1548" t="s">
        <v>1081</v>
      </c>
      <c r="C44" s="1101"/>
      <c r="D44" s="1107"/>
      <c r="E44" s="1022">
        <f>550+149</f>
        <v>699</v>
      </c>
      <c r="F44" s="1022">
        <v>699</v>
      </c>
      <c r="G44" s="1164">
        <f t="shared" si="0"/>
        <v>100</v>
      </c>
      <c r="H44" s="1112"/>
      <c r="I44" s="1107"/>
      <c r="J44" s="1022"/>
      <c r="K44" s="1022"/>
      <c r="L44" s="1025"/>
      <c r="M44" s="625"/>
      <c r="N44" s="2380"/>
      <c r="O44" s="2373"/>
      <c r="P44" s="2373"/>
      <c r="Q44" s="2373"/>
      <c r="R44" s="2373"/>
      <c r="S44" s="2373"/>
      <c r="T44" s="2373"/>
      <c r="U44" s="2373"/>
    </row>
    <row r="45" spans="1:21" s="304" customFormat="1" ht="45.75" x14ac:dyDescent="0.35">
      <c r="A45" s="1909">
        <v>37</v>
      </c>
      <c r="B45" s="1548" t="s">
        <v>1070</v>
      </c>
      <c r="C45" s="1101"/>
      <c r="D45" s="1107"/>
      <c r="E45" s="1022">
        <v>1448</v>
      </c>
      <c r="F45" s="1022">
        <v>1448</v>
      </c>
      <c r="G45" s="1164">
        <f t="shared" si="0"/>
        <v>100</v>
      </c>
      <c r="H45" s="1112"/>
      <c r="I45" s="1107"/>
      <c r="J45" s="1022"/>
      <c r="K45" s="1022"/>
      <c r="L45" s="1025"/>
      <c r="M45" s="625"/>
      <c r="N45" s="2380"/>
      <c r="O45" s="2373"/>
      <c r="P45" s="2373"/>
      <c r="Q45" s="2373"/>
      <c r="R45" s="2373"/>
      <c r="S45" s="2373"/>
      <c r="T45" s="2373"/>
      <c r="U45" s="2373"/>
    </row>
    <row r="46" spans="1:21" s="304" customFormat="1" ht="91.5" x14ac:dyDescent="0.35">
      <c r="A46" s="1909">
        <v>38</v>
      </c>
      <c r="B46" s="1548" t="s">
        <v>1071</v>
      </c>
      <c r="C46" s="1101"/>
      <c r="D46" s="1107"/>
      <c r="E46" s="1022">
        <f>11811+8189-5000</f>
        <v>15000</v>
      </c>
      <c r="F46" s="1022">
        <v>264</v>
      </c>
      <c r="G46" s="1164">
        <f t="shared" si="0"/>
        <v>1.76</v>
      </c>
      <c r="H46" s="1112"/>
      <c r="I46" s="1107"/>
      <c r="J46" s="1022"/>
      <c r="K46" s="1022"/>
      <c r="L46" s="1025"/>
      <c r="M46" s="625"/>
      <c r="N46" s="2380"/>
      <c r="O46" s="2373"/>
      <c r="P46" s="2373"/>
      <c r="Q46" s="2373"/>
      <c r="R46" s="2373"/>
      <c r="S46" s="2373"/>
      <c r="T46" s="2373"/>
      <c r="U46" s="2373"/>
    </row>
    <row r="47" spans="1:21" s="304" customFormat="1" ht="45.75" x14ac:dyDescent="0.35">
      <c r="A47" s="1909">
        <v>39</v>
      </c>
      <c r="B47" s="1548" t="s">
        <v>1072</v>
      </c>
      <c r="C47" s="1101"/>
      <c r="D47" s="1107"/>
      <c r="E47" s="1022">
        <f>11811+3189</f>
        <v>15000</v>
      </c>
      <c r="F47" s="1022">
        <v>495</v>
      </c>
      <c r="G47" s="1164">
        <f t="shared" si="0"/>
        <v>3.3</v>
      </c>
      <c r="H47" s="1112"/>
      <c r="I47" s="1107"/>
      <c r="J47" s="1022"/>
      <c r="K47" s="1022"/>
      <c r="L47" s="1025"/>
      <c r="M47" s="625"/>
      <c r="N47" s="2380"/>
      <c r="O47" s="2373"/>
      <c r="P47" s="2373"/>
      <c r="Q47" s="2373"/>
      <c r="R47" s="2373"/>
      <c r="S47" s="2373"/>
      <c r="T47" s="2373"/>
      <c r="U47" s="2373"/>
    </row>
    <row r="48" spans="1:21" s="304" customFormat="1" ht="91.5" x14ac:dyDescent="0.35">
      <c r="A48" s="1909">
        <v>40</v>
      </c>
      <c r="B48" s="1548" t="s">
        <v>1552</v>
      </c>
      <c r="C48" s="1101"/>
      <c r="D48" s="1107"/>
      <c r="E48" s="1022">
        <f>3937+1063</f>
        <v>5000</v>
      </c>
      <c r="F48" s="1022">
        <v>0</v>
      </c>
      <c r="G48" s="1164">
        <f t="shared" si="0"/>
        <v>0</v>
      </c>
      <c r="H48" s="1112"/>
      <c r="I48" s="1107"/>
      <c r="J48" s="1022"/>
      <c r="K48" s="1022"/>
      <c r="L48" s="1025"/>
      <c r="M48" s="625"/>
      <c r="N48" s="2380"/>
      <c r="O48" s="2373"/>
      <c r="P48" s="2373"/>
      <c r="Q48" s="2373"/>
      <c r="R48" s="2373"/>
      <c r="S48" s="2373"/>
      <c r="T48" s="2373"/>
      <c r="U48" s="2373"/>
    </row>
    <row r="49" spans="1:21" s="304" customFormat="1" ht="45.75" x14ac:dyDescent="0.35">
      <c r="A49" s="1909">
        <v>41</v>
      </c>
      <c r="B49" s="1548" t="s">
        <v>1553</v>
      </c>
      <c r="C49" s="1101"/>
      <c r="D49" s="1107"/>
      <c r="E49" s="1022">
        <f>331+90</f>
        <v>421</v>
      </c>
      <c r="F49" s="1022">
        <v>421</v>
      </c>
      <c r="G49" s="1164">
        <f t="shared" si="0"/>
        <v>100</v>
      </c>
      <c r="H49" s="1112"/>
      <c r="I49" s="1107"/>
      <c r="J49" s="1022"/>
      <c r="K49" s="1022"/>
      <c r="L49" s="1025"/>
      <c r="M49" s="625"/>
      <c r="N49" s="2380"/>
      <c r="O49" s="2373"/>
      <c r="P49" s="2373"/>
      <c r="Q49" s="2373"/>
      <c r="R49" s="2373"/>
      <c r="S49" s="2373"/>
      <c r="T49" s="2373"/>
      <c r="U49" s="2373"/>
    </row>
    <row r="50" spans="1:21" s="304" customFormat="1" ht="45.75" x14ac:dyDescent="0.35">
      <c r="A50" s="1909">
        <v>42</v>
      </c>
      <c r="B50" s="1548" t="s">
        <v>1073</v>
      </c>
      <c r="C50" s="1101"/>
      <c r="D50" s="1107"/>
      <c r="E50" s="1022">
        <f>189+51</f>
        <v>240</v>
      </c>
      <c r="F50" s="1022">
        <v>240</v>
      </c>
      <c r="G50" s="1164">
        <f t="shared" si="0"/>
        <v>100</v>
      </c>
      <c r="H50" s="1112"/>
      <c r="I50" s="1107"/>
      <c r="J50" s="1022"/>
      <c r="K50" s="1022"/>
      <c r="L50" s="1025"/>
      <c r="M50" s="625"/>
      <c r="N50" s="2380"/>
      <c r="O50" s="2373"/>
      <c r="P50" s="2373"/>
      <c r="Q50" s="2373"/>
      <c r="R50" s="2373"/>
      <c r="S50" s="2373"/>
      <c r="T50" s="2373"/>
      <c r="U50" s="2373"/>
    </row>
    <row r="51" spans="1:21" s="304" customFormat="1" ht="45" x14ac:dyDescent="0.35">
      <c r="A51" s="1908">
        <v>43</v>
      </c>
      <c r="B51" s="1544" t="s">
        <v>461</v>
      </c>
      <c r="C51" s="1100">
        <v>216369</v>
      </c>
      <c r="D51" s="1106">
        <f>SUM(D18:D38)</f>
        <v>261396</v>
      </c>
      <c r="E51" s="1023">
        <f>SUM(E18:E50)</f>
        <v>248219</v>
      </c>
      <c r="F51" s="1023">
        <f>SUM(F18:F50)</f>
        <v>204629</v>
      </c>
      <c r="G51" s="1165">
        <f t="shared" si="0"/>
        <v>82.438894685741218</v>
      </c>
      <c r="H51" s="1111">
        <f>SUM(H18:H38)</f>
        <v>0</v>
      </c>
      <c r="I51" s="1106">
        <f>SUM(I18:I38)</f>
        <v>0</v>
      </c>
      <c r="J51" s="1023">
        <f>SUM(J18:J38)</f>
        <v>0</v>
      </c>
      <c r="K51" s="1023">
        <f>SUM(K18:K38)</f>
        <v>0</v>
      </c>
      <c r="L51" s="1024"/>
      <c r="M51" s="625"/>
      <c r="N51" s="2372"/>
      <c r="O51" s="2373"/>
      <c r="P51" s="2373"/>
      <c r="Q51" s="2373"/>
      <c r="R51" s="2373"/>
      <c r="S51" s="2373"/>
      <c r="T51" s="2373"/>
      <c r="U51" s="2373"/>
    </row>
    <row r="52" spans="1:21" s="304" customFormat="1" ht="45.75" x14ac:dyDescent="0.35">
      <c r="A52" s="1910">
        <v>44</v>
      </c>
      <c r="B52" s="1549" t="s">
        <v>460</v>
      </c>
      <c r="C52" s="1102"/>
      <c r="D52" s="1107"/>
      <c r="E52" s="1022">
        <f t="shared" si="2"/>
        <v>0</v>
      </c>
      <c r="F52" s="1022">
        <v>0</v>
      </c>
      <c r="G52" s="1164"/>
      <c r="H52" s="1114">
        <v>4000</v>
      </c>
      <c r="I52" s="1107">
        <v>4000</v>
      </c>
      <c r="J52" s="1022">
        <f>I52-1000-10+936-1030+10</f>
        <v>2906</v>
      </c>
      <c r="K52" s="1022">
        <v>1623</v>
      </c>
      <c r="L52" s="1539">
        <f>K52/J52%</f>
        <v>55.849965588437719</v>
      </c>
      <c r="M52" s="625"/>
      <c r="N52" s="2372"/>
      <c r="O52" s="2373"/>
      <c r="P52" s="2373"/>
      <c r="Q52" s="2373"/>
      <c r="R52" s="2373"/>
      <c r="S52" s="2373"/>
      <c r="T52" s="2373"/>
      <c r="U52" s="2373"/>
    </row>
    <row r="53" spans="1:21" s="304" customFormat="1" ht="45.75" x14ac:dyDescent="0.35">
      <c r="A53" s="1910">
        <v>45</v>
      </c>
      <c r="B53" s="1549" t="s">
        <v>1013</v>
      </c>
      <c r="C53" s="1102"/>
      <c r="D53" s="1107"/>
      <c r="E53" s="1022"/>
      <c r="F53" s="1022"/>
      <c r="G53" s="1164"/>
      <c r="H53" s="1114"/>
      <c r="I53" s="1107"/>
      <c r="J53" s="1022">
        <f>787+213-122-223-2+214+67-90-468-68</f>
        <v>308</v>
      </c>
      <c r="K53" s="1022">
        <v>272</v>
      </c>
      <c r="L53" s="1539">
        <f>K53/J53%</f>
        <v>88.311688311688314</v>
      </c>
      <c r="M53" s="625"/>
      <c r="N53" s="2372"/>
      <c r="O53" s="2373"/>
      <c r="P53" s="2373"/>
      <c r="Q53" s="2373"/>
      <c r="R53" s="2373"/>
      <c r="S53" s="2373"/>
      <c r="T53" s="2373"/>
      <c r="U53" s="2373"/>
    </row>
    <row r="54" spans="1:21" s="304" customFormat="1" ht="45.75" x14ac:dyDescent="0.35">
      <c r="A54" s="1910">
        <v>46</v>
      </c>
      <c r="B54" s="1549" t="s">
        <v>1049</v>
      </c>
      <c r="C54" s="1102"/>
      <c r="D54" s="1107"/>
      <c r="E54" s="1022">
        <v>9000</v>
      </c>
      <c r="F54" s="1022">
        <v>2160</v>
      </c>
      <c r="G54" s="1164">
        <f t="shared" si="0"/>
        <v>24</v>
      </c>
      <c r="H54" s="1114"/>
      <c r="I54" s="1107"/>
      <c r="J54" s="1022"/>
      <c r="K54" s="1022"/>
      <c r="L54" s="1025"/>
      <c r="M54" s="625"/>
      <c r="N54" s="2372"/>
      <c r="O54" s="2373"/>
      <c r="P54" s="2373"/>
      <c r="Q54" s="2373"/>
      <c r="R54" s="2373"/>
      <c r="S54" s="2373"/>
      <c r="T54" s="2373"/>
      <c r="U54" s="2373"/>
    </row>
    <row r="55" spans="1:21" s="304" customFormat="1" ht="45" x14ac:dyDescent="0.35">
      <c r="A55" s="1908">
        <v>47</v>
      </c>
      <c r="B55" s="1544" t="s">
        <v>462</v>
      </c>
      <c r="C55" s="1100">
        <f>SUM(C52:C52)</f>
        <v>0</v>
      </c>
      <c r="D55" s="1106">
        <f>SUM(D52:D52)</f>
        <v>0</v>
      </c>
      <c r="E55" s="1023">
        <f>SUM(E52:E54)</f>
        <v>9000</v>
      </c>
      <c r="F55" s="1023">
        <f>SUM(F52:F54)</f>
        <v>2160</v>
      </c>
      <c r="G55" s="1165">
        <f t="shared" si="0"/>
        <v>24</v>
      </c>
      <c r="H55" s="1111">
        <f>SUM(H52:H52)</f>
        <v>4000</v>
      </c>
      <c r="I55" s="1106">
        <f>SUM(I52:I52)</f>
        <v>4000</v>
      </c>
      <c r="J55" s="1023">
        <f>SUM(J52:J53)</f>
        <v>3214</v>
      </c>
      <c r="K55" s="1023">
        <f>SUM(K52:K53)</f>
        <v>1895</v>
      </c>
      <c r="L55" s="1169">
        <f>K55/J55%</f>
        <v>58.960796515245796</v>
      </c>
      <c r="M55" s="625"/>
      <c r="N55" s="2372"/>
      <c r="O55" s="2373"/>
      <c r="P55" s="2373"/>
      <c r="Q55" s="2373"/>
      <c r="R55" s="2373"/>
      <c r="S55" s="2373"/>
      <c r="T55" s="2373"/>
      <c r="U55" s="2373"/>
    </row>
    <row r="56" spans="1:21" s="304" customFormat="1" ht="45.75" x14ac:dyDescent="0.35">
      <c r="A56" s="1909">
        <v>48</v>
      </c>
      <c r="B56" s="1550" t="s">
        <v>769</v>
      </c>
      <c r="C56" s="1101"/>
      <c r="D56" s="1107">
        <f>1000+80</f>
        <v>1080</v>
      </c>
      <c r="E56" s="1022">
        <f>D56+9+30+22+39+11+106+28-850-230+195+94+26+54+15+61+17+53+8-3-9</f>
        <v>756</v>
      </c>
      <c r="F56" s="1022">
        <f>683-44</f>
        <v>639</v>
      </c>
      <c r="G56" s="1164">
        <f t="shared" si="0"/>
        <v>84.523809523809533</v>
      </c>
      <c r="H56" s="1115">
        <v>1500</v>
      </c>
      <c r="I56" s="1107">
        <f>20+1500+40</f>
        <v>1560</v>
      </c>
      <c r="J56" s="1022">
        <f>I56+1+1+30+8+24+6-1+16+4+67+18+117+31+61+16+17+4+1+10+3+67+18+58+16+67+18+121-16+7+207+1+8+13+8+88+56+263+268+60+1</f>
        <v>3323</v>
      </c>
      <c r="K56" s="1022">
        <f>2891-55</f>
        <v>2836</v>
      </c>
      <c r="L56" s="1539">
        <f>K56/J56%</f>
        <v>85.344568161300032</v>
      </c>
      <c r="M56" s="625"/>
      <c r="N56" s="2372"/>
      <c r="O56" s="2373"/>
      <c r="P56" s="2373"/>
      <c r="Q56" s="2373"/>
      <c r="R56" s="2373"/>
      <c r="S56" s="2373"/>
      <c r="T56" s="2373"/>
      <c r="U56" s="2373"/>
    </row>
    <row r="57" spans="1:21" s="304" customFormat="1" ht="45.75" x14ac:dyDescent="0.35">
      <c r="A57" s="1909">
        <v>49</v>
      </c>
      <c r="B57" s="1551" t="s">
        <v>971</v>
      </c>
      <c r="C57" s="1101"/>
      <c r="D57" s="1107"/>
      <c r="E57" s="1022">
        <f t="shared" si="2"/>
        <v>0</v>
      </c>
      <c r="F57" s="1022"/>
      <c r="G57" s="1164"/>
      <c r="H57" s="1112">
        <v>2000</v>
      </c>
      <c r="I57" s="1107">
        <v>1500</v>
      </c>
      <c r="J57" s="1022">
        <f t="shared" ref="J57" si="3">I57</f>
        <v>1500</v>
      </c>
      <c r="K57" s="1022">
        <v>999</v>
      </c>
      <c r="L57" s="1539">
        <f>K57/J57%</f>
        <v>66.599999999999994</v>
      </c>
      <c r="M57" s="625"/>
      <c r="N57" s="2372"/>
      <c r="O57" s="2373"/>
      <c r="P57" s="2373"/>
      <c r="Q57" s="2373"/>
      <c r="R57" s="2373"/>
      <c r="S57" s="2373"/>
      <c r="T57" s="2373"/>
      <c r="U57" s="2373"/>
    </row>
    <row r="58" spans="1:21" s="304" customFormat="1" ht="45.75" x14ac:dyDescent="0.35">
      <c r="A58" s="1909">
        <v>50</v>
      </c>
      <c r="B58" s="1547" t="s">
        <v>951</v>
      </c>
      <c r="C58" s="1101"/>
      <c r="D58" s="1107"/>
      <c r="E58" s="1022">
        <f t="shared" si="2"/>
        <v>0</v>
      </c>
      <c r="F58" s="1022"/>
      <c r="G58" s="1164"/>
      <c r="H58" s="1116"/>
      <c r="I58" s="1107">
        <f>1000+250+2400+200+500</f>
        <v>4350</v>
      </c>
      <c r="J58" s="1022">
        <f>I58-3</f>
        <v>4347</v>
      </c>
      <c r="K58" s="1022">
        <v>2580</v>
      </c>
      <c r="L58" s="1539">
        <f t="shared" ref="L58:L60" si="4">K58/J58%</f>
        <v>59.351276742581092</v>
      </c>
      <c r="M58" s="625"/>
      <c r="N58" s="2372"/>
      <c r="O58" s="2381"/>
      <c r="P58" s="2381"/>
      <c r="Q58" s="2381"/>
      <c r="R58" s="2381"/>
      <c r="S58" s="2373"/>
      <c r="T58" s="2373"/>
      <c r="U58" s="2373"/>
    </row>
    <row r="59" spans="1:21" s="304" customFormat="1" ht="44.25" customHeight="1" x14ac:dyDescent="0.35">
      <c r="A59" s="1909">
        <v>51</v>
      </c>
      <c r="B59" s="1548" t="s">
        <v>943</v>
      </c>
      <c r="C59" s="1101">
        <v>11500</v>
      </c>
      <c r="D59" s="1107">
        <v>2000</v>
      </c>
      <c r="E59" s="1022">
        <f>D59-1400</f>
        <v>600</v>
      </c>
      <c r="F59" s="1022">
        <v>421</v>
      </c>
      <c r="G59" s="1164">
        <f t="shared" si="0"/>
        <v>70.166666666666671</v>
      </c>
      <c r="H59" s="1116"/>
      <c r="I59" s="1107"/>
      <c r="J59" s="1022"/>
      <c r="K59" s="1022"/>
      <c r="L59" s="1539"/>
      <c r="M59" s="625"/>
      <c r="N59" s="2380"/>
      <c r="O59" s="2373"/>
      <c r="P59" s="2373"/>
      <c r="Q59" s="2373"/>
      <c r="R59" s="2373"/>
      <c r="S59" s="2373"/>
      <c r="T59" s="2373"/>
      <c r="U59" s="2373"/>
    </row>
    <row r="60" spans="1:21" s="304" customFormat="1" ht="45.75" x14ac:dyDescent="0.35">
      <c r="A60" s="1909">
        <v>52</v>
      </c>
      <c r="B60" s="1548" t="s">
        <v>968</v>
      </c>
      <c r="C60" s="1101"/>
      <c r="D60" s="1107"/>
      <c r="E60" s="1022">
        <f t="shared" si="2"/>
        <v>0</v>
      </c>
      <c r="F60" s="1022"/>
      <c r="G60" s="1164"/>
      <c r="H60" s="1116"/>
      <c r="I60" s="1107">
        <v>250</v>
      </c>
      <c r="J60" s="1022">
        <f>I60-5</f>
        <v>245</v>
      </c>
      <c r="K60" s="1022">
        <v>244</v>
      </c>
      <c r="L60" s="1539">
        <f t="shared" si="4"/>
        <v>99.591836734693871</v>
      </c>
      <c r="M60" s="625"/>
      <c r="N60" s="2380"/>
      <c r="O60" s="2373"/>
      <c r="P60" s="2373"/>
      <c r="Q60" s="2373"/>
      <c r="R60" s="2373"/>
      <c r="S60" s="2373"/>
      <c r="T60" s="2373"/>
      <c r="U60" s="2373"/>
    </row>
    <row r="61" spans="1:21" s="304" customFormat="1" ht="45.75" x14ac:dyDescent="0.35">
      <c r="A61" s="1909">
        <v>53</v>
      </c>
      <c r="B61" s="1548" t="s">
        <v>1009</v>
      </c>
      <c r="C61" s="1101"/>
      <c r="D61" s="1107"/>
      <c r="E61" s="1022">
        <f>173+46+346+86+116+72+19</f>
        <v>858</v>
      </c>
      <c r="F61" s="1022">
        <v>858</v>
      </c>
      <c r="G61" s="1164">
        <f t="shared" si="0"/>
        <v>100</v>
      </c>
      <c r="H61" s="1116"/>
      <c r="I61" s="1107"/>
      <c r="J61" s="1022"/>
      <c r="K61" s="1022"/>
      <c r="L61" s="1025"/>
      <c r="M61" s="625"/>
      <c r="N61" s="2380"/>
      <c r="O61" s="2373"/>
      <c r="P61" s="2373"/>
      <c r="Q61" s="2373"/>
      <c r="R61" s="2373"/>
      <c r="S61" s="2373"/>
      <c r="T61" s="2373"/>
      <c r="U61" s="2373"/>
    </row>
    <row r="62" spans="1:21" s="304" customFormat="1" ht="45.75" x14ac:dyDescent="0.35">
      <c r="A62" s="1909">
        <v>54</v>
      </c>
      <c r="B62" s="1548" t="s">
        <v>1018</v>
      </c>
      <c r="C62" s="1101"/>
      <c r="D62" s="1107"/>
      <c r="E62" s="1022">
        <f>61+17-61-17</f>
        <v>0</v>
      </c>
      <c r="F62" s="1022"/>
      <c r="G62" s="1164"/>
      <c r="H62" s="1116"/>
      <c r="I62" s="1107"/>
      <c r="J62" s="1022"/>
      <c r="K62" s="1022"/>
      <c r="L62" s="1025"/>
      <c r="M62" s="625"/>
      <c r="N62" s="2380"/>
      <c r="O62" s="2373"/>
      <c r="P62" s="2373"/>
      <c r="Q62" s="2373"/>
      <c r="R62" s="2373"/>
      <c r="S62" s="2373"/>
      <c r="T62" s="2373"/>
      <c r="U62" s="2373"/>
    </row>
    <row r="63" spans="1:21" s="304" customFormat="1" ht="91.5" x14ac:dyDescent="0.35">
      <c r="A63" s="1909">
        <v>55</v>
      </c>
      <c r="B63" s="1548" t="s">
        <v>1032</v>
      </c>
      <c r="C63" s="1101"/>
      <c r="D63" s="1107"/>
      <c r="E63" s="1022">
        <v>2357</v>
      </c>
      <c r="F63" s="1022">
        <v>2357</v>
      </c>
      <c r="G63" s="1164">
        <f t="shared" si="0"/>
        <v>100</v>
      </c>
      <c r="H63" s="1116"/>
      <c r="I63" s="1107"/>
      <c r="J63" s="1022"/>
      <c r="K63" s="1022"/>
      <c r="L63" s="1025"/>
      <c r="M63" s="625"/>
      <c r="N63" s="2380"/>
      <c r="O63" s="2373"/>
      <c r="P63" s="2373"/>
      <c r="Q63" s="2373"/>
      <c r="R63" s="2373"/>
      <c r="S63" s="2373"/>
      <c r="T63" s="2373"/>
      <c r="U63" s="2373"/>
    </row>
    <row r="64" spans="1:21" s="304" customFormat="1" ht="45.75" x14ac:dyDescent="0.35">
      <c r="A64" s="1909">
        <v>56</v>
      </c>
      <c r="B64" s="1548" t="s">
        <v>1555</v>
      </c>
      <c r="C64" s="1101"/>
      <c r="D64" s="1107"/>
      <c r="E64" s="1022"/>
      <c r="F64" s="1022"/>
      <c r="G64" s="1164"/>
      <c r="H64" s="1116"/>
      <c r="I64" s="1107"/>
      <c r="J64" s="1022">
        <f>5350+79+1466+15+63</f>
        <v>6973</v>
      </c>
      <c r="K64" s="1022">
        <v>6973</v>
      </c>
      <c r="L64" s="1539">
        <f t="shared" ref="L64" si="5">K64/J64%</f>
        <v>100</v>
      </c>
      <c r="M64" s="625"/>
      <c r="N64" s="2380"/>
      <c r="O64" s="2373"/>
      <c r="P64" s="2373"/>
      <c r="Q64" s="2373"/>
      <c r="R64" s="2373"/>
      <c r="S64" s="2373"/>
      <c r="T64" s="2373"/>
      <c r="U64" s="2373"/>
    </row>
    <row r="65" spans="1:21" s="304" customFormat="1" ht="45.75" x14ac:dyDescent="0.35">
      <c r="A65" s="1909">
        <v>57</v>
      </c>
      <c r="B65" s="1548" t="s">
        <v>1554</v>
      </c>
      <c r="C65" s="1101"/>
      <c r="D65" s="1107"/>
      <c r="E65" s="1022">
        <v>1300</v>
      </c>
      <c r="F65" s="1022">
        <v>0</v>
      </c>
      <c r="G65" s="1164">
        <f t="shared" si="0"/>
        <v>0</v>
      </c>
      <c r="H65" s="1116"/>
      <c r="I65" s="1107"/>
      <c r="J65" s="1022"/>
      <c r="K65" s="1022"/>
      <c r="L65" s="1025"/>
      <c r="M65" s="625"/>
      <c r="N65" s="2380"/>
      <c r="O65" s="2373"/>
      <c r="P65" s="2373"/>
      <c r="Q65" s="2373"/>
      <c r="R65" s="2373"/>
      <c r="S65" s="2373"/>
      <c r="T65" s="2373"/>
      <c r="U65" s="2373"/>
    </row>
    <row r="66" spans="1:21" s="304" customFormat="1" ht="45.75" x14ac:dyDescent="0.35">
      <c r="A66" s="1909">
        <v>58</v>
      </c>
      <c r="B66" s="1548" t="s">
        <v>1556</v>
      </c>
      <c r="C66" s="1101"/>
      <c r="D66" s="1107"/>
      <c r="E66" s="1022"/>
      <c r="F66" s="1022"/>
      <c r="G66" s="1164"/>
      <c r="H66" s="1116"/>
      <c r="I66" s="1107"/>
      <c r="J66" s="1022">
        <f>900</f>
        <v>900</v>
      </c>
      <c r="K66" s="1022">
        <v>0</v>
      </c>
      <c r="L66" s="1539">
        <f t="shared" ref="L66:L67" si="6">K66/J66%</f>
        <v>0</v>
      </c>
      <c r="M66" s="625"/>
      <c r="N66" s="2380"/>
      <c r="O66" s="2373"/>
      <c r="P66" s="2373"/>
      <c r="Q66" s="2373"/>
      <c r="R66" s="2373"/>
      <c r="S66" s="2373"/>
      <c r="T66" s="2373"/>
      <c r="U66" s="2373"/>
    </row>
    <row r="67" spans="1:21" s="304" customFormat="1" ht="45" x14ac:dyDescent="0.35">
      <c r="A67" s="1908">
        <v>59</v>
      </c>
      <c r="B67" s="1544" t="s">
        <v>463</v>
      </c>
      <c r="C67" s="1100">
        <v>26981</v>
      </c>
      <c r="D67" s="1106">
        <f>SUM(D56:D62)</f>
        <v>3080</v>
      </c>
      <c r="E67" s="1023">
        <f>SUM(E56:E65)</f>
        <v>5871</v>
      </c>
      <c r="F67" s="1023">
        <f>SUM(F56:F65)</f>
        <v>4275</v>
      </c>
      <c r="G67" s="1165">
        <f t="shared" si="0"/>
        <v>72.815533980582529</v>
      </c>
      <c r="H67" s="1111">
        <f>SUM(H56:H60)</f>
        <v>3500</v>
      </c>
      <c r="I67" s="1106">
        <f>SUM(I56:I60)</f>
        <v>7660</v>
      </c>
      <c r="J67" s="1023">
        <f>SUM(J56:J66)</f>
        <v>17288</v>
      </c>
      <c r="K67" s="1023">
        <f t="shared" ref="K67" si="7">SUM(K56:K66)</f>
        <v>13632</v>
      </c>
      <c r="L67" s="1169">
        <f t="shared" si="6"/>
        <v>78.852383155946328</v>
      </c>
      <c r="M67" s="625"/>
      <c r="N67" s="2372"/>
      <c r="O67" s="2373"/>
      <c r="P67" s="2373"/>
      <c r="Q67" s="2373"/>
      <c r="R67" s="2373"/>
      <c r="S67" s="2373"/>
      <c r="T67" s="2373"/>
      <c r="U67" s="2373"/>
    </row>
    <row r="68" spans="1:21" s="304" customFormat="1" ht="45.75" x14ac:dyDescent="0.35">
      <c r="A68" s="1909">
        <v>60</v>
      </c>
      <c r="B68" s="1550" t="s">
        <v>948</v>
      </c>
      <c r="C68" s="1101"/>
      <c r="D68" s="1107">
        <v>45</v>
      </c>
      <c r="E68" s="1022">
        <f t="shared" si="2"/>
        <v>45</v>
      </c>
      <c r="F68" s="1022">
        <v>0</v>
      </c>
      <c r="G68" s="1164">
        <f t="shared" si="0"/>
        <v>0</v>
      </c>
      <c r="H68" s="1116"/>
      <c r="I68" s="1107"/>
      <c r="J68" s="1022"/>
      <c r="K68" s="1022"/>
      <c r="L68" s="1025"/>
      <c r="M68" s="625"/>
      <c r="N68" s="2372"/>
      <c r="O68" s="2373"/>
      <c r="P68" s="2373"/>
      <c r="Q68" s="2373"/>
      <c r="R68" s="2373"/>
      <c r="S68" s="2373"/>
      <c r="T68" s="2373"/>
      <c r="U68" s="2373"/>
    </row>
    <row r="69" spans="1:21" ht="45" x14ac:dyDescent="0.35">
      <c r="A69" s="1908">
        <v>61</v>
      </c>
      <c r="B69" s="1544" t="s">
        <v>464</v>
      </c>
      <c r="C69" s="1100">
        <v>0</v>
      </c>
      <c r="D69" s="1106">
        <f>D68</f>
        <v>45</v>
      </c>
      <c r="E69" s="1023">
        <f t="shared" ref="E69:J69" si="8">E68</f>
        <v>45</v>
      </c>
      <c r="F69" s="1023">
        <f t="shared" ref="F69" si="9">F68</f>
        <v>0</v>
      </c>
      <c r="G69" s="1165">
        <f t="shared" si="0"/>
        <v>0</v>
      </c>
      <c r="H69" s="1111">
        <f t="shared" si="8"/>
        <v>0</v>
      </c>
      <c r="I69" s="1106">
        <f t="shared" si="8"/>
        <v>0</v>
      </c>
      <c r="J69" s="1023">
        <f t="shared" si="8"/>
        <v>0</v>
      </c>
      <c r="K69" s="1023">
        <f t="shared" ref="K69" si="10">K68</f>
        <v>0</v>
      </c>
      <c r="L69" s="1024"/>
      <c r="M69" s="625"/>
      <c r="N69" s="2372"/>
      <c r="O69" s="2373"/>
      <c r="P69" s="2373"/>
      <c r="Q69" s="2373"/>
      <c r="R69" s="2373"/>
      <c r="S69" s="2382"/>
      <c r="T69" s="2382"/>
      <c r="U69" s="2382"/>
    </row>
    <row r="70" spans="1:21" ht="45.75" thickBot="1" x14ac:dyDescent="0.25">
      <c r="A70" s="1908">
        <v>62</v>
      </c>
      <c r="B70" s="1552" t="s">
        <v>465</v>
      </c>
      <c r="C70" s="1103">
        <v>0</v>
      </c>
      <c r="D70" s="1108">
        <v>0</v>
      </c>
      <c r="E70" s="1026">
        <f t="shared" si="2"/>
        <v>0</v>
      </c>
      <c r="F70" s="1026">
        <f t="shared" si="2"/>
        <v>0</v>
      </c>
      <c r="G70" s="1166"/>
      <c r="H70" s="1117">
        <v>0</v>
      </c>
      <c r="I70" s="1108">
        <v>0</v>
      </c>
      <c r="J70" s="1026">
        <v>0</v>
      </c>
      <c r="K70" s="1026">
        <v>0</v>
      </c>
      <c r="L70" s="1540"/>
      <c r="M70" s="625"/>
      <c r="N70" s="2372"/>
      <c r="O70" s="2382"/>
      <c r="P70" s="2382"/>
      <c r="Q70" s="2382"/>
      <c r="R70" s="2382"/>
      <c r="S70" s="2382"/>
      <c r="T70" s="2382"/>
      <c r="U70" s="2382"/>
    </row>
    <row r="71" spans="1:21" ht="45.75" thickBot="1" x14ac:dyDescent="0.4">
      <c r="A71" s="1911">
        <v>63</v>
      </c>
      <c r="B71" s="1553" t="s">
        <v>466</v>
      </c>
      <c r="C71" s="1104">
        <f t="shared" ref="C71:J71" si="11">C70+C69+C67+C55+C17+C51</f>
        <v>243350</v>
      </c>
      <c r="D71" s="1109">
        <f t="shared" si="11"/>
        <v>265664</v>
      </c>
      <c r="E71" s="1027">
        <f t="shared" si="11"/>
        <v>300269</v>
      </c>
      <c r="F71" s="1027">
        <f t="shared" ref="F71" si="12">F70+F69+F67+F55+F17+F51</f>
        <v>234643</v>
      </c>
      <c r="G71" s="1167">
        <f t="shared" si="0"/>
        <v>78.144263976634278</v>
      </c>
      <c r="H71" s="1118">
        <f t="shared" si="11"/>
        <v>7500</v>
      </c>
      <c r="I71" s="1109">
        <f t="shared" si="11"/>
        <v>11660</v>
      </c>
      <c r="J71" s="1027">
        <f t="shared" si="11"/>
        <v>20557</v>
      </c>
      <c r="K71" s="1027">
        <f t="shared" ref="K71" si="13">K70+K69+K67+K55+K17+K51</f>
        <v>15582.15</v>
      </c>
      <c r="L71" s="1541">
        <f>K71/J71%</f>
        <v>75.799727586710119</v>
      </c>
      <c r="M71" s="625"/>
      <c r="N71" s="2383"/>
      <c r="O71" s="2382"/>
      <c r="P71" s="2382"/>
      <c r="Q71" s="2382"/>
      <c r="R71" s="2384"/>
      <c r="S71" s="2382"/>
      <c r="T71" s="2382"/>
      <c r="U71" s="2382"/>
    </row>
    <row r="72" spans="1:21" x14ac:dyDescent="0.2">
      <c r="N72" s="2372"/>
      <c r="O72" s="2382"/>
      <c r="P72" s="2382"/>
      <c r="Q72" s="2382"/>
      <c r="R72" s="2382"/>
      <c r="S72" s="2382"/>
      <c r="T72" s="2382"/>
      <c r="U72" s="2382"/>
    </row>
    <row r="73" spans="1:21" x14ac:dyDescent="0.2">
      <c r="N73" s="2372"/>
      <c r="O73" s="2382"/>
      <c r="P73" s="2382"/>
      <c r="Q73" s="2382"/>
      <c r="R73" s="2382"/>
      <c r="S73" s="2382"/>
      <c r="T73" s="2382"/>
      <c r="U73" s="2382"/>
    </row>
    <row r="74" spans="1:21" ht="45" x14ac:dyDescent="0.2">
      <c r="E74" s="1045"/>
      <c r="F74" s="1045"/>
      <c r="G74" s="1045"/>
      <c r="N74" s="2372"/>
      <c r="O74" s="2382"/>
      <c r="P74" s="2382"/>
      <c r="Q74" s="2382"/>
      <c r="R74" s="2382"/>
      <c r="S74" s="2382"/>
      <c r="T74" s="2382"/>
      <c r="U74" s="2382"/>
    </row>
    <row r="75" spans="1:21" ht="45" x14ac:dyDescent="0.2">
      <c r="E75" s="1045"/>
      <c r="F75" s="1045"/>
      <c r="G75" s="1045"/>
      <c r="N75" s="2372"/>
      <c r="O75" s="2382"/>
      <c r="P75" s="2382"/>
      <c r="Q75" s="2382"/>
      <c r="R75" s="2382"/>
      <c r="S75" s="2382"/>
      <c r="T75" s="2382"/>
      <c r="U75" s="2382"/>
    </row>
    <row r="76" spans="1:21" x14ac:dyDescent="0.3">
      <c r="C76" s="507"/>
      <c r="D76" s="507"/>
      <c r="E76" s="507"/>
      <c r="F76" s="507"/>
      <c r="G76" s="507"/>
      <c r="N76" s="2372"/>
      <c r="O76" s="2382"/>
      <c r="P76" s="2382"/>
      <c r="Q76" s="2382"/>
      <c r="R76" s="2382"/>
      <c r="S76" s="2382"/>
      <c r="T76" s="2382"/>
      <c r="U76" s="2382"/>
    </row>
    <row r="77" spans="1:21" x14ac:dyDescent="0.35">
      <c r="C77" s="506"/>
      <c r="D77" s="506"/>
      <c r="E77" s="506"/>
      <c r="F77" s="506"/>
      <c r="G77" s="506"/>
      <c r="N77" s="2372"/>
      <c r="O77" s="2382"/>
      <c r="P77" s="2382"/>
      <c r="Q77" s="2382"/>
      <c r="R77" s="2382"/>
      <c r="S77" s="2382"/>
      <c r="T77" s="2382"/>
      <c r="U77" s="2382"/>
    </row>
    <row r="78" spans="1:21" x14ac:dyDescent="0.2">
      <c r="N78" s="2372"/>
      <c r="O78" s="2382"/>
      <c r="P78" s="2382"/>
      <c r="Q78" s="2382"/>
      <c r="R78" s="2382"/>
      <c r="S78" s="2382"/>
      <c r="T78" s="2382"/>
      <c r="U78" s="2382"/>
    </row>
    <row r="79" spans="1:21" x14ac:dyDescent="0.2">
      <c r="C79" s="603"/>
      <c r="N79" s="2372"/>
      <c r="O79" s="2382"/>
      <c r="P79" s="2382"/>
      <c r="Q79" s="2382"/>
      <c r="R79" s="2382"/>
      <c r="S79" s="2382"/>
      <c r="T79" s="2382"/>
      <c r="U79" s="2382"/>
    </row>
    <row r="80" spans="1:21" x14ac:dyDescent="0.2">
      <c r="N80" s="2372"/>
      <c r="O80" s="2382"/>
      <c r="P80" s="2382"/>
      <c r="Q80" s="2382"/>
      <c r="R80" s="2382"/>
      <c r="S80" s="2382"/>
      <c r="T80" s="2382"/>
      <c r="U80" s="2382"/>
    </row>
  </sheetData>
  <autoFilter ref="A4:N71" xr:uid="{00000000-0009-0000-0000-000017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autoFilter>
  <mergeCells count="4">
    <mergeCell ref="A1:M1"/>
    <mergeCell ref="A2:M2"/>
    <mergeCell ref="A4:M4"/>
    <mergeCell ref="A7:L7"/>
  </mergeCells>
  <phoneticPr fontId="62" type="noConversion"/>
  <printOptions horizontalCentered="1"/>
  <pageMargins left="0.25" right="0.25" top="0.75" bottom="0.75" header="0.3" footer="0.3"/>
  <pageSetup paperSize="8" scale="25"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3" tint="-0.249977111117893"/>
    <pageSetUpPr fitToPage="1"/>
  </sheetPr>
  <dimension ref="A1:M39"/>
  <sheetViews>
    <sheetView view="pageBreakPreview" zoomScale="69" zoomScaleNormal="80" zoomScaleSheetLayoutView="69" workbookViewId="0">
      <selection activeCell="A2" sqref="A2:O2"/>
    </sheetView>
  </sheetViews>
  <sheetFormatPr defaultRowHeight="18.75" x14ac:dyDescent="0.3"/>
  <cols>
    <col min="1" max="1" width="8.7109375" style="352" customWidth="1"/>
    <col min="2" max="2" width="112" style="352" customWidth="1"/>
    <col min="3" max="3" width="26.42578125" style="352" hidden="1" customWidth="1"/>
    <col min="4" max="6" width="24.5703125" style="352" customWidth="1"/>
    <col min="7" max="7" width="17.5703125" style="352" customWidth="1"/>
    <col min="8" max="8" width="10.140625" style="352" hidden="1" customWidth="1"/>
    <col min="9" max="12" width="22.85546875" style="352" customWidth="1"/>
    <col min="13" max="13" width="18.28515625" style="352" customWidth="1"/>
    <col min="14" max="16384" width="9.140625" style="352"/>
  </cols>
  <sheetData>
    <row r="1" spans="1:13" s="343" customFormat="1" ht="22.5" customHeight="1" x14ac:dyDescent="0.35">
      <c r="A1" s="2520" t="str">
        <f>'20. Beruházás (K6)'!A1:I1</f>
        <v>Pilisvörösvár Város Önkormányzata Képviselő-testületének 7/2018. (IV. 27.) önkormányzati rendelete</v>
      </c>
      <c r="B1" s="2520"/>
      <c r="C1" s="2520"/>
      <c r="D1" s="2520"/>
      <c r="E1" s="2520"/>
      <c r="F1" s="2520"/>
      <c r="G1" s="2520"/>
      <c r="H1" s="2520"/>
      <c r="I1" s="2520"/>
      <c r="J1" s="2521"/>
      <c r="K1" s="2521"/>
      <c r="L1" s="2521"/>
    </row>
    <row r="2" spans="1:13" s="343" customFormat="1" ht="25.5" x14ac:dyDescent="0.35">
      <c r="A2" s="2520" t="str">
        <f>'20. Beruházás (K6)'!A2:I2</f>
        <v>az Önkormányzat  2017. évi zárszámadásáról</v>
      </c>
      <c r="B2" s="2520"/>
      <c r="C2" s="2520"/>
      <c r="D2" s="2520"/>
      <c r="E2" s="2520"/>
      <c r="F2" s="2520"/>
      <c r="G2" s="2520"/>
      <c r="H2" s="2520"/>
      <c r="I2" s="2520"/>
      <c r="J2" s="2521"/>
      <c r="K2" s="2521"/>
      <c r="L2" s="2521"/>
    </row>
    <row r="3" spans="1:13" s="344" customFormat="1" ht="22.5" customHeight="1" x14ac:dyDescent="0.35">
      <c r="A3" s="2442"/>
      <c r="B3" s="2442"/>
      <c r="C3" s="2442"/>
      <c r="D3" s="2442"/>
      <c r="E3" s="2442"/>
      <c r="F3" s="2442"/>
      <c r="G3" s="2442"/>
      <c r="H3" s="2442"/>
      <c r="I3" s="2442"/>
      <c r="J3" s="877"/>
      <c r="K3" s="1044"/>
      <c r="L3" s="1044"/>
    </row>
    <row r="4" spans="1:13" s="344" customFormat="1" ht="22.5" customHeight="1" x14ac:dyDescent="0.35">
      <c r="A4" s="2520" t="str">
        <f>Tartalomjegyzék_2017!B28</f>
        <v>Pilisvörösvár Város Önkormányzata felhalmozási (felújítási) kiadásai feladatonként</v>
      </c>
      <c r="B4" s="2520"/>
      <c r="C4" s="2520"/>
      <c r="D4" s="2520"/>
      <c r="E4" s="2520"/>
      <c r="F4" s="2520"/>
      <c r="G4" s="2520"/>
      <c r="H4" s="2520"/>
      <c r="I4" s="2520"/>
      <c r="J4" s="2521"/>
      <c r="K4" s="2521"/>
      <c r="L4" s="2521"/>
    </row>
    <row r="5" spans="1:13" s="344" customFormat="1" ht="22.5" customHeight="1" x14ac:dyDescent="0.4">
      <c r="A5" s="595"/>
      <c r="B5" s="595"/>
      <c r="C5" s="595"/>
      <c r="D5" s="595"/>
      <c r="E5" s="875"/>
      <c r="F5" s="1042"/>
      <c r="G5" s="1042"/>
      <c r="H5" s="595"/>
      <c r="K5" s="860"/>
      <c r="L5" s="860" t="s">
        <v>1126</v>
      </c>
    </row>
    <row r="6" spans="1:13" s="344" customFormat="1" ht="26.25" x14ac:dyDescent="0.4">
      <c r="A6" s="505"/>
      <c r="B6" s="505"/>
      <c r="C6" s="505"/>
      <c r="D6" s="590"/>
      <c r="E6" s="875"/>
      <c r="F6" s="1042"/>
      <c r="G6" s="1042"/>
      <c r="K6" s="959"/>
      <c r="L6" s="959"/>
    </row>
    <row r="7" spans="1:13" s="344" customFormat="1" ht="26.25" x14ac:dyDescent="0.4">
      <c r="A7" s="346"/>
      <c r="B7" s="345"/>
      <c r="C7" s="347"/>
      <c r="D7" s="347"/>
      <c r="E7" s="347"/>
      <c r="F7" s="347"/>
      <c r="G7" s="347"/>
      <c r="K7" s="861"/>
      <c r="L7" s="861" t="s">
        <v>323</v>
      </c>
    </row>
    <row r="8" spans="1:13" s="344" customFormat="1" ht="27" thickBot="1" x14ac:dyDescent="0.45">
      <c r="A8" s="2522" t="s">
        <v>467</v>
      </c>
      <c r="B8" s="2522"/>
      <c r="C8" s="2522"/>
      <c r="D8" s="2522"/>
      <c r="E8" s="2522"/>
      <c r="F8" s="2522"/>
      <c r="G8" s="2522"/>
      <c r="H8" s="2522"/>
      <c r="I8" s="2523"/>
      <c r="J8" s="2524"/>
      <c r="K8" s="2524"/>
      <c r="L8" s="2524"/>
    </row>
    <row r="9" spans="1:13" s="344" customFormat="1" ht="117.75" customHeight="1" thickBot="1" x14ac:dyDescent="0.35">
      <c r="A9" s="348" t="s">
        <v>3</v>
      </c>
      <c r="B9" s="988" t="s">
        <v>458</v>
      </c>
      <c r="C9" s="1130" t="str">
        <f>'20. Beruházás (K6)'!C8</f>
        <v>Önkormányzat 2016. évi eredeti előirányzat</v>
      </c>
      <c r="D9" s="1124" t="str">
        <f>'20. Beruházás (K6)'!D8</f>
        <v>Önkormányzat 2017. évi eredeti előirányzat</v>
      </c>
      <c r="E9" s="986" t="str">
        <f>'20. Beruházás (K6)'!E8</f>
        <v>Önkormányzat 2017. évi módosított előirányzat 2017.12.31</v>
      </c>
      <c r="F9" s="986" t="str">
        <f>'20. Beruházás (K6)'!F8</f>
        <v>Önkormányzat 2017. évi Teljesítés 2017.12.31</v>
      </c>
      <c r="G9" s="987" t="str">
        <f>'20. Beruházás (K6)'!G8</f>
        <v>Teljesítés %-ban</v>
      </c>
      <c r="H9" s="1131">
        <f>'20. Beruházás (K6)'!H8</f>
        <v>0</v>
      </c>
      <c r="I9" s="1124" t="str">
        <f>'20. Beruházás (K6)'!I8</f>
        <v>Polgármesteri Hivatal 2017. évi eredeti előirányzat</v>
      </c>
      <c r="J9" s="986" t="str">
        <f>'20. Beruházás (K6)'!J8</f>
        <v>Polgármesteri Hivatal 2017. évi módosított előirányzat 2017.12.31.</v>
      </c>
      <c r="K9" s="986" t="str">
        <f>'20. Beruházás (K6)'!K8</f>
        <v>Polgármesteri Hivatal  2017. évi Teljesítés 2017.12.31</v>
      </c>
      <c r="L9" s="987" t="str">
        <f>'20. Beruházás (K6)'!L8</f>
        <v>Teljesítés %-ban</v>
      </c>
    </row>
    <row r="10" spans="1:13" s="344" customFormat="1" ht="30" hidden="1" customHeight="1" x14ac:dyDescent="0.35">
      <c r="A10" s="349">
        <v>1</v>
      </c>
      <c r="B10" s="350" t="s">
        <v>468</v>
      </c>
      <c r="C10" s="1119"/>
      <c r="D10" s="1125"/>
      <c r="E10" s="306"/>
      <c r="F10" s="306"/>
      <c r="G10" s="981"/>
      <c r="H10" s="1132"/>
      <c r="I10" s="1125"/>
      <c r="J10" s="306"/>
      <c r="K10" s="306"/>
      <c r="L10" s="981"/>
    </row>
    <row r="11" spans="1:13" s="344" customFormat="1" ht="30" customHeight="1" x14ac:dyDescent="0.45">
      <c r="A11" s="1912">
        <v>1</v>
      </c>
      <c r="B11" s="635" t="s">
        <v>939</v>
      </c>
      <c r="C11" s="1120"/>
      <c r="D11" s="1126">
        <f>2000+1000</f>
        <v>3000</v>
      </c>
      <c r="E11" s="631">
        <f>D11-1575-425</f>
        <v>1000</v>
      </c>
      <c r="F11" s="631">
        <v>745</v>
      </c>
      <c r="G11" s="1170">
        <f>F11/E11%</f>
        <v>74.5</v>
      </c>
      <c r="H11" s="1133"/>
      <c r="I11" s="1126"/>
      <c r="J11" s="631"/>
      <c r="K11" s="631"/>
      <c r="L11" s="982"/>
      <c r="M11" s="298"/>
    </row>
    <row r="12" spans="1:13" s="344" customFormat="1" ht="30" hidden="1" customHeight="1" x14ac:dyDescent="0.45">
      <c r="A12" s="1912">
        <v>3</v>
      </c>
      <c r="B12" s="635" t="s">
        <v>682</v>
      </c>
      <c r="C12" s="1120"/>
      <c r="D12" s="1126"/>
      <c r="E12" s="631">
        <f t="shared" ref="E12:E21" si="0">D12</f>
        <v>0</v>
      </c>
      <c r="F12" s="631"/>
      <c r="G12" s="982"/>
      <c r="H12" s="1133"/>
      <c r="I12" s="1126"/>
      <c r="J12" s="631"/>
      <c r="K12" s="631"/>
      <c r="L12" s="982"/>
      <c r="M12" s="298"/>
    </row>
    <row r="13" spans="1:13" s="344" customFormat="1" ht="30" hidden="1" customHeight="1" x14ac:dyDescent="0.45">
      <c r="A13" s="1912">
        <v>4</v>
      </c>
      <c r="B13" s="635" t="s">
        <v>683</v>
      </c>
      <c r="C13" s="1120"/>
      <c r="D13" s="1126"/>
      <c r="E13" s="631">
        <f t="shared" si="0"/>
        <v>0</v>
      </c>
      <c r="F13" s="631"/>
      <c r="G13" s="982"/>
      <c r="H13" s="1133"/>
      <c r="I13" s="1126"/>
      <c r="J13" s="631"/>
      <c r="K13" s="631"/>
      <c r="L13" s="982"/>
      <c r="M13" s="298"/>
    </row>
    <row r="14" spans="1:13" s="344" customFormat="1" ht="30" customHeight="1" x14ac:dyDescent="0.45">
      <c r="A14" s="1912">
        <v>2</v>
      </c>
      <c r="B14" s="635" t="s">
        <v>945</v>
      </c>
      <c r="C14" s="1120"/>
      <c r="D14" s="1126">
        <f>1000+1000</f>
        <v>2000</v>
      </c>
      <c r="E14" s="631">
        <f>D14-1575-425</f>
        <v>0</v>
      </c>
      <c r="F14" s="631">
        <v>0</v>
      </c>
      <c r="G14" s="982"/>
      <c r="H14" s="1133"/>
      <c r="I14" s="1126"/>
      <c r="J14" s="631"/>
      <c r="K14" s="631"/>
      <c r="L14" s="982"/>
      <c r="M14" s="298"/>
    </row>
    <row r="15" spans="1:13" s="479" customFormat="1" ht="30" customHeight="1" x14ac:dyDescent="0.45">
      <c r="A15" s="1912">
        <v>3</v>
      </c>
      <c r="B15" s="635" t="s">
        <v>733</v>
      </c>
      <c r="C15" s="1120"/>
      <c r="D15" s="1126">
        <v>3500</v>
      </c>
      <c r="E15" s="631">
        <f>D15-2756-744+66+17+10</f>
        <v>93</v>
      </c>
      <c r="F15" s="631">
        <v>93</v>
      </c>
      <c r="G15" s="1170">
        <f>F15/E15%</f>
        <v>100</v>
      </c>
      <c r="H15" s="1133"/>
      <c r="I15" s="1126"/>
      <c r="J15" s="631"/>
      <c r="K15" s="631"/>
      <c r="L15" s="982"/>
      <c r="M15" s="616"/>
    </row>
    <row r="16" spans="1:13" s="344" customFormat="1" ht="30" hidden="1" customHeight="1" x14ac:dyDescent="0.45">
      <c r="A16" s="1912">
        <v>6</v>
      </c>
      <c r="B16" s="636" t="s">
        <v>823</v>
      </c>
      <c r="C16" s="1120"/>
      <c r="D16" s="1126"/>
      <c r="E16" s="631">
        <f t="shared" si="0"/>
        <v>0</v>
      </c>
      <c r="F16" s="631"/>
      <c r="G16" s="1170" t="e">
        <f t="shared" ref="G16:G22" si="1">F16/E16%</f>
        <v>#DIV/0!</v>
      </c>
      <c r="H16" s="1133"/>
      <c r="I16" s="1126"/>
      <c r="J16" s="631"/>
      <c r="K16" s="631"/>
      <c r="L16" s="982"/>
      <c r="M16" s="298"/>
    </row>
    <row r="17" spans="1:13" s="344" customFormat="1" ht="54.75" hidden="1" customHeight="1" x14ac:dyDescent="0.45">
      <c r="A17" s="1912">
        <v>7</v>
      </c>
      <c r="B17" s="636" t="s">
        <v>845</v>
      </c>
      <c r="C17" s="1120"/>
      <c r="D17" s="1126"/>
      <c r="E17" s="631">
        <f t="shared" si="0"/>
        <v>0</v>
      </c>
      <c r="F17" s="631"/>
      <c r="G17" s="1170" t="e">
        <f t="shared" si="1"/>
        <v>#DIV/0!</v>
      </c>
      <c r="H17" s="1133"/>
      <c r="I17" s="1126"/>
      <c r="J17" s="631"/>
      <c r="K17" s="631"/>
      <c r="L17" s="982"/>
      <c r="M17" s="298"/>
    </row>
    <row r="18" spans="1:13" s="344" customFormat="1" ht="54.75" hidden="1" customHeight="1" x14ac:dyDescent="0.45">
      <c r="A18" s="1912">
        <v>8</v>
      </c>
      <c r="B18" s="635" t="s">
        <v>846</v>
      </c>
      <c r="C18" s="1120"/>
      <c r="D18" s="1126"/>
      <c r="E18" s="631">
        <f t="shared" si="0"/>
        <v>0</v>
      </c>
      <c r="F18" s="631"/>
      <c r="G18" s="1170" t="e">
        <f t="shared" si="1"/>
        <v>#DIV/0!</v>
      </c>
      <c r="H18" s="1133"/>
      <c r="I18" s="1126"/>
      <c r="J18" s="631"/>
      <c r="K18" s="631"/>
      <c r="L18" s="982"/>
      <c r="M18" s="298"/>
    </row>
    <row r="19" spans="1:13" s="344" customFormat="1" ht="54.75" customHeight="1" x14ac:dyDescent="0.45">
      <c r="A19" s="1912">
        <v>4</v>
      </c>
      <c r="B19" s="635" t="s">
        <v>970</v>
      </c>
      <c r="C19" s="1120"/>
      <c r="D19" s="1126">
        <v>18119</v>
      </c>
      <c r="E19" s="631">
        <f>D19-3+1497+436+1</f>
        <v>20050</v>
      </c>
      <c r="F19" s="631">
        <v>20050</v>
      </c>
      <c r="G19" s="1170">
        <f t="shared" si="1"/>
        <v>100</v>
      </c>
      <c r="H19" s="1133"/>
      <c r="I19" s="1126"/>
      <c r="J19" s="631"/>
      <c r="K19" s="631"/>
      <c r="L19" s="982"/>
      <c r="M19" s="786"/>
    </row>
    <row r="20" spans="1:13" s="344" customFormat="1" ht="46.5" hidden="1" customHeight="1" x14ac:dyDescent="0.45">
      <c r="A20" s="1912">
        <v>6.8</v>
      </c>
      <c r="B20" s="635" t="s">
        <v>851</v>
      </c>
      <c r="C20" s="1120"/>
      <c r="D20" s="1126"/>
      <c r="E20" s="631">
        <f t="shared" si="0"/>
        <v>0</v>
      </c>
      <c r="F20" s="631"/>
      <c r="G20" s="1170" t="e">
        <f t="shared" si="1"/>
        <v>#DIV/0!</v>
      </c>
      <c r="H20" s="1133"/>
      <c r="I20" s="1126"/>
      <c r="J20" s="631"/>
      <c r="K20" s="631"/>
      <c r="L20" s="982"/>
      <c r="M20" s="298"/>
    </row>
    <row r="21" spans="1:13" s="344" customFormat="1" ht="30" hidden="1" customHeight="1" x14ac:dyDescent="0.45">
      <c r="A21" s="1912">
        <v>7.2</v>
      </c>
      <c r="B21" s="635" t="s">
        <v>862</v>
      </c>
      <c r="C21" s="1120"/>
      <c r="D21" s="1126"/>
      <c r="E21" s="631">
        <f t="shared" si="0"/>
        <v>0</v>
      </c>
      <c r="F21" s="631"/>
      <c r="G21" s="1170" t="e">
        <f t="shared" si="1"/>
        <v>#DIV/0!</v>
      </c>
      <c r="H21" s="1133"/>
      <c r="I21" s="1126"/>
      <c r="J21" s="631"/>
      <c r="K21" s="631"/>
      <c r="L21" s="982"/>
    </row>
    <row r="22" spans="1:13" s="344" customFormat="1" ht="30" customHeight="1" x14ac:dyDescent="0.45">
      <c r="A22" s="1912">
        <v>5</v>
      </c>
      <c r="B22" s="635" t="s">
        <v>1033</v>
      </c>
      <c r="C22" s="1120"/>
      <c r="D22" s="1126"/>
      <c r="E22" s="631">
        <f>1420+383-284-76</f>
        <v>1443</v>
      </c>
      <c r="F22" s="631">
        <v>1443</v>
      </c>
      <c r="G22" s="1170">
        <f t="shared" si="1"/>
        <v>100</v>
      </c>
      <c r="H22" s="1133"/>
      <c r="I22" s="1126"/>
      <c r="J22" s="631"/>
      <c r="K22" s="631"/>
      <c r="L22" s="982"/>
    </row>
    <row r="23" spans="1:13" s="344" customFormat="1" ht="30" customHeight="1" x14ac:dyDescent="0.45">
      <c r="A23" s="1912">
        <v>6</v>
      </c>
      <c r="B23" s="635" t="s">
        <v>1011</v>
      </c>
      <c r="C23" s="1120"/>
      <c r="D23" s="1126"/>
      <c r="E23" s="631">
        <f>4185+4184+1130+1130-4184-1130-4184-1130-1</f>
        <v>0</v>
      </c>
      <c r="F23" s="631">
        <v>0</v>
      </c>
      <c r="G23" s="982"/>
      <c r="H23" s="1133"/>
      <c r="I23" s="1126"/>
      <c r="J23" s="631"/>
      <c r="K23" s="631"/>
      <c r="L23" s="982"/>
    </row>
    <row r="24" spans="1:13" s="344" customFormat="1" ht="30" customHeight="1" x14ac:dyDescent="0.45">
      <c r="A24" s="1912">
        <v>7</v>
      </c>
      <c r="B24" s="635" t="s">
        <v>1012</v>
      </c>
      <c r="C24" s="1120"/>
      <c r="D24" s="1126"/>
      <c r="E24" s="631">
        <f>787+213-237-64-699</f>
        <v>0</v>
      </c>
      <c r="F24" s="631">
        <v>0</v>
      </c>
      <c r="G24" s="982"/>
      <c r="H24" s="1133"/>
      <c r="I24" s="1126"/>
      <c r="J24" s="631"/>
      <c r="K24" s="631"/>
      <c r="L24" s="982"/>
    </row>
    <row r="25" spans="1:13" s="344" customFormat="1" ht="46.5" x14ac:dyDescent="0.45">
      <c r="A25" s="1912">
        <v>8</v>
      </c>
      <c r="B25" s="635" t="s">
        <v>1016</v>
      </c>
      <c r="C25" s="1120"/>
      <c r="D25" s="1126"/>
      <c r="E25" s="631">
        <f>5805+47709+12881-2-1-3-1+3+1115+301-100-2-1</f>
        <v>67704</v>
      </c>
      <c r="F25" s="631">
        <v>60923</v>
      </c>
      <c r="G25" s="1170">
        <f t="shared" ref="G25:G33" si="2">F25/E25%</f>
        <v>89.98434361337587</v>
      </c>
      <c r="H25" s="1133"/>
      <c r="I25" s="1126"/>
      <c r="J25" s="631"/>
      <c r="K25" s="631"/>
      <c r="L25" s="982"/>
    </row>
    <row r="26" spans="1:13" s="344" customFormat="1" ht="46.5" x14ac:dyDescent="0.45">
      <c r="A26" s="1912">
        <v>9</v>
      </c>
      <c r="B26" s="635" t="s">
        <v>1023</v>
      </c>
      <c r="C26" s="1120"/>
      <c r="D26" s="1126"/>
      <c r="E26" s="631">
        <f>156+266</f>
        <v>422</v>
      </c>
      <c r="F26" s="631">
        <v>422</v>
      </c>
      <c r="G26" s="1170">
        <f t="shared" si="2"/>
        <v>100</v>
      </c>
      <c r="H26" s="1133"/>
      <c r="I26" s="1126"/>
      <c r="J26" s="631"/>
      <c r="K26" s="631"/>
      <c r="L26" s="982"/>
    </row>
    <row r="27" spans="1:13" s="344" customFormat="1" ht="46.5" x14ac:dyDescent="0.45">
      <c r="A27" s="1912">
        <v>10</v>
      </c>
      <c r="B27" s="635" t="s">
        <v>1036</v>
      </c>
      <c r="C27" s="1120"/>
      <c r="D27" s="1126"/>
      <c r="E27" s="631">
        <f>2776+750</f>
        <v>3526</v>
      </c>
      <c r="F27" s="631">
        <v>191</v>
      </c>
      <c r="G27" s="1170">
        <f t="shared" si="2"/>
        <v>5.416903006239365</v>
      </c>
      <c r="H27" s="1133"/>
      <c r="I27" s="1126"/>
      <c r="J27" s="631"/>
      <c r="K27" s="631"/>
      <c r="L27" s="982"/>
    </row>
    <row r="28" spans="1:13" s="344" customFormat="1" ht="46.5" x14ac:dyDescent="0.45">
      <c r="A28" s="1912">
        <v>11</v>
      </c>
      <c r="B28" s="635" t="s">
        <v>1037</v>
      </c>
      <c r="C28" s="1120"/>
      <c r="D28" s="1126"/>
      <c r="E28" s="631">
        <v>2195</v>
      </c>
      <c r="F28" s="631">
        <v>2108</v>
      </c>
      <c r="G28" s="1170">
        <f t="shared" si="2"/>
        <v>96.03644646924829</v>
      </c>
      <c r="H28" s="1133"/>
      <c r="I28" s="1126"/>
      <c r="J28" s="631"/>
      <c r="K28" s="631"/>
      <c r="L28" s="982"/>
    </row>
    <row r="29" spans="1:13" s="344" customFormat="1" ht="30.75" x14ac:dyDescent="0.45">
      <c r="A29" s="1912">
        <v>12</v>
      </c>
      <c r="B29" s="635" t="s">
        <v>1039</v>
      </c>
      <c r="C29" s="1120"/>
      <c r="D29" s="1126"/>
      <c r="E29" s="631">
        <f>2030+548</f>
        <v>2578</v>
      </c>
      <c r="F29" s="631">
        <v>2578</v>
      </c>
      <c r="G29" s="1170">
        <f t="shared" si="2"/>
        <v>100</v>
      </c>
      <c r="H29" s="1133"/>
      <c r="I29" s="1126"/>
      <c r="J29" s="631"/>
      <c r="K29" s="631"/>
      <c r="L29" s="982"/>
    </row>
    <row r="30" spans="1:13" s="344" customFormat="1" ht="30.75" x14ac:dyDescent="0.45">
      <c r="A30" s="1912">
        <v>13</v>
      </c>
      <c r="B30" s="635" t="s">
        <v>1041</v>
      </c>
      <c r="C30" s="1120"/>
      <c r="D30" s="1126"/>
      <c r="E30" s="631">
        <f>425+1</f>
        <v>426</v>
      </c>
      <c r="F30" s="631">
        <v>425</v>
      </c>
      <c r="G30" s="1170">
        <f t="shared" si="2"/>
        <v>99.765258215962447</v>
      </c>
      <c r="H30" s="1133"/>
      <c r="I30" s="1126"/>
      <c r="J30" s="631"/>
      <c r="K30" s="631"/>
      <c r="L30" s="982"/>
    </row>
    <row r="31" spans="1:13" s="344" customFormat="1" ht="46.5" x14ac:dyDescent="0.45">
      <c r="A31" s="1912">
        <v>14</v>
      </c>
      <c r="B31" s="635" t="s">
        <v>1046</v>
      </c>
      <c r="C31" s="1120"/>
      <c r="D31" s="1126"/>
      <c r="E31" s="631">
        <v>13254</v>
      </c>
      <c r="F31" s="631">
        <v>635</v>
      </c>
      <c r="G31" s="1170">
        <f t="shared" si="2"/>
        <v>4.7910064886072128</v>
      </c>
      <c r="H31" s="1133"/>
      <c r="I31" s="1126"/>
      <c r="J31" s="631"/>
      <c r="K31" s="631"/>
      <c r="L31" s="982"/>
    </row>
    <row r="32" spans="1:13" s="344" customFormat="1" ht="30.75" x14ac:dyDescent="0.45">
      <c r="A32" s="1912">
        <v>15</v>
      </c>
      <c r="B32" s="635" t="s">
        <v>1047</v>
      </c>
      <c r="C32" s="1120"/>
      <c r="D32" s="1126"/>
      <c r="E32" s="631">
        <f>13013+3514</f>
        <v>16527</v>
      </c>
      <c r="F32" s="631">
        <v>3294</v>
      </c>
      <c r="G32" s="1170">
        <f t="shared" si="2"/>
        <v>19.931021964058811</v>
      </c>
      <c r="H32" s="1133"/>
      <c r="I32" s="1126"/>
      <c r="J32" s="631"/>
      <c r="K32" s="631"/>
      <c r="L32" s="982"/>
    </row>
    <row r="33" spans="1:12" s="344" customFormat="1" ht="30.75" x14ac:dyDescent="0.45">
      <c r="A33" s="1912">
        <v>16</v>
      </c>
      <c r="B33" s="635" t="s">
        <v>1082</v>
      </c>
      <c r="C33" s="1120"/>
      <c r="D33" s="1126"/>
      <c r="E33" s="631">
        <f>28+8</f>
        <v>36</v>
      </c>
      <c r="F33" s="631">
        <v>36</v>
      </c>
      <c r="G33" s="1170">
        <f t="shared" si="2"/>
        <v>100</v>
      </c>
      <c r="H33" s="1133"/>
      <c r="I33" s="1126"/>
      <c r="J33" s="631"/>
      <c r="K33" s="631"/>
      <c r="L33" s="982"/>
    </row>
    <row r="34" spans="1:12" s="344" customFormat="1" ht="30" customHeight="1" x14ac:dyDescent="0.4">
      <c r="A34" s="1913">
        <v>17</v>
      </c>
      <c r="B34" s="637" t="s">
        <v>469</v>
      </c>
      <c r="C34" s="1121">
        <v>10560</v>
      </c>
      <c r="D34" s="1127">
        <f>SUM(D10:D21)</f>
        <v>26619</v>
      </c>
      <c r="E34" s="630">
        <f>SUM(E10:E33)</f>
        <v>129254</v>
      </c>
      <c r="F34" s="630">
        <f>SUM(F10:F33)</f>
        <v>92943</v>
      </c>
      <c r="G34" s="1171">
        <f>F34/E34%</f>
        <v>71.907252386773337</v>
      </c>
      <c r="H34" s="1134">
        <f>SUM(H10:H15)</f>
        <v>0</v>
      </c>
      <c r="I34" s="1127">
        <f>SUM(I10:I15)</f>
        <v>0</v>
      </c>
      <c r="J34" s="630">
        <f>SUM(J10:J15)</f>
        <v>0</v>
      </c>
      <c r="K34" s="630">
        <f>SUM(K10:K15)</f>
        <v>0</v>
      </c>
      <c r="L34" s="983"/>
    </row>
    <row r="35" spans="1:12" s="344" customFormat="1" ht="30" customHeight="1" x14ac:dyDescent="0.4">
      <c r="A35" s="1913">
        <v>18</v>
      </c>
      <c r="B35" s="637" t="s">
        <v>470</v>
      </c>
      <c r="C35" s="1121">
        <v>0</v>
      </c>
      <c r="D35" s="1127">
        <v>0</v>
      </c>
      <c r="E35" s="630">
        <v>0</v>
      </c>
      <c r="F35" s="630">
        <v>0</v>
      </c>
      <c r="G35" s="983"/>
      <c r="H35" s="1134">
        <v>0</v>
      </c>
      <c r="I35" s="1127">
        <v>0</v>
      </c>
      <c r="J35" s="630">
        <v>0</v>
      </c>
      <c r="K35" s="630">
        <v>0</v>
      </c>
      <c r="L35" s="983"/>
    </row>
    <row r="36" spans="1:12" s="344" customFormat="1" ht="30" customHeight="1" x14ac:dyDescent="0.4">
      <c r="A36" s="1913">
        <v>19</v>
      </c>
      <c r="B36" s="637" t="s">
        <v>471</v>
      </c>
      <c r="C36" s="1121">
        <v>0</v>
      </c>
      <c r="D36" s="1127">
        <v>0</v>
      </c>
      <c r="E36" s="630">
        <v>0</v>
      </c>
      <c r="F36" s="630">
        <v>0</v>
      </c>
      <c r="G36" s="983"/>
      <c r="H36" s="1134">
        <v>0</v>
      </c>
      <c r="I36" s="1127">
        <v>0</v>
      </c>
      <c r="J36" s="630">
        <v>0</v>
      </c>
      <c r="K36" s="630">
        <v>0</v>
      </c>
      <c r="L36" s="983"/>
    </row>
    <row r="37" spans="1:12" s="344" customFormat="1" ht="30" customHeight="1" thickBot="1" x14ac:dyDescent="0.45">
      <c r="A37" s="1914">
        <v>20</v>
      </c>
      <c r="B37" s="638" t="s">
        <v>472</v>
      </c>
      <c r="C37" s="1122">
        <v>0</v>
      </c>
      <c r="D37" s="1128">
        <v>0</v>
      </c>
      <c r="E37" s="632">
        <v>0</v>
      </c>
      <c r="F37" s="632">
        <v>0</v>
      </c>
      <c r="G37" s="984"/>
      <c r="H37" s="1135">
        <v>0</v>
      </c>
      <c r="I37" s="1128">
        <v>0</v>
      </c>
      <c r="J37" s="632">
        <v>0</v>
      </c>
      <c r="K37" s="632">
        <v>0</v>
      </c>
      <c r="L37" s="984"/>
    </row>
    <row r="38" spans="1:12" s="344" customFormat="1" ht="30.75" thickBot="1" x14ac:dyDescent="0.45">
      <c r="A38" s="1915">
        <v>21</v>
      </c>
      <c r="B38" s="639" t="s">
        <v>473</v>
      </c>
      <c r="C38" s="1123">
        <f t="shared" ref="C38:H38" si="3">C37+C36+C35+C34</f>
        <v>10560</v>
      </c>
      <c r="D38" s="1129">
        <f t="shared" ref="D38:E38" si="4">D37+D36+D35+D34</f>
        <v>26619</v>
      </c>
      <c r="E38" s="633">
        <f t="shared" si="4"/>
        <v>129254</v>
      </c>
      <c r="F38" s="633">
        <f t="shared" ref="F38" si="5">F37+F36+F35+F34</f>
        <v>92943</v>
      </c>
      <c r="G38" s="1172">
        <f>F38/E38%</f>
        <v>71.907252386773337</v>
      </c>
      <c r="H38" s="1136">
        <f t="shared" si="3"/>
        <v>0</v>
      </c>
      <c r="I38" s="1129">
        <f t="shared" ref="I38" si="6">I37+I36+I35+I34</f>
        <v>0</v>
      </c>
      <c r="J38" s="633">
        <f>J37+J36+J35+J34</f>
        <v>0</v>
      </c>
      <c r="K38" s="633">
        <f>K37+K36+K35+K34</f>
        <v>0</v>
      </c>
      <c r="L38" s="985"/>
    </row>
    <row r="39" spans="1:12" x14ac:dyDescent="0.3">
      <c r="A39" s="351"/>
      <c r="B39" s="344"/>
      <c r="H39" s="344"/>
      <c r="I39" s="344"/>
      <c r="J39" s="344"/>
      <c r="K39" s="344"/>
      <c r="L39" s="344"/>
    </row>
  </sheetData>
  <mergeCells count="5">
    <mergeCell ref="A3:I3"/>
    <mergeCell ref="A1:L1"/>
    <mergeCell ref="A2:L2"/>
    <mergeCell ref="A4:L4"/>
    <mergeCell ref="A8:L8"/>
  </mergeCells>
  <pageMargins left="0.7" right="0.7" top="0.75" bottom="0.75" header="0.3" footer="0.3"/>
  <pageSetup paperSize="9" scale="45" orientation="landscape"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tint="-0.499984740745262"/>
    <pageSetUpPr fitToPage="1"/>
  </sheetPr>
  <dimension ref="A1:O32"/>
  <sheetViews>
    <sheetView view="pageBreakPreview" zoomScaleSheetLayoutView="100" workbookViewId="0">
      <selection activeCell="A2" sqref="A2:O2"/>
    </sheetView>
  </sheetViews>
  <sheetFormatPr defaultRowHeight="15" x14ac:dyDescent="0.25"/>
  <cols>
    <col min="1" max="1" width="55" style="1175" customWidth="1"/>
    <col min="2" max="2" width="39" style="1175" bestFit="1" customWidth="1"/>
    <col min="3" max="3" width="15.7109375" style="1175" customWidth="1"/>
    <col min="4" max="4" width="14" style="1175" customWidth="1"/>
    <col min="5" max="5" width="10.85546875" style="1175" customWidth="1"/>
    <col min="6" max="6" width="14" style="1175" customWidth="1"/>
    <col min="7" max="7" width="15.140625" style="1175" customWidth="1"/>
    <col min="8" max="8" width="12.28515625" style="1175" customWidth="1"/>
    <col min="9" max="9" width="12.85546875" style="1175" customWidth="1"/>
    <col min="10" max="10" width="12.140625" style="1175" customWidth="1"/>
    <col min="11" max="11" width="13.28515625" style="1175" customWidth="1"/>
    <col min="12" max="12" width="14.140625" style="1175" customWidth="1"/>
    <col min="13" max="14" width="10.140625" style="1175" bestFit="1" customWidth="1"/>
    <col min="15" max="16384" width="9.140625" style="1175"/>
  </cols>
  <sheetData>
    <row r="1" spans="1:15" ht="21" customHeight="1" x14ac:dyDescent="0.3">
      <c r="A1" s="2526"/>
      <c r="B1" s="2526"/>
      <c r="C1" s="2526"/>
      <c r="D1" s="2526"/>
      <c r="E1" s="2526"/>
      <c r="F1" s="2526"/>
      <c r="G1" s="2526"/>
      <c r="H1" s="2526"/>
      <c r="I1" s="2526"/>
      <c r="J1" s="2526"/>
      <c r="K1" s="2526"/>
      <c r="L1" s="2526"/>
      <c r="M1" s="1173">
        <v>0</v>
      </c>
      <c r="N1" s="1174" t="s">
        <v>761</v>
      </c>
      <c r="O1" s="1175">
        <v>-0.32800000000000001</v>
      </c>
    </row>
    <row r="2" spans="1:15" ht="21" customHeight="1" x14ac:dyDescent="0.3">
      <c r="A2" s="2526"/>
      <c r="B2" s="2526"/>
      <c r="C2" s="2526"/>
      <c r="D2" s="2526"/>
      <c r="E2" s="2526"/>
      <c r="F2" s="2526"/>
      <c r="G2" s="2526"/>
      <c r="H2" s="2526"/>
      <c r="I2" s="2526"/>
      <c r="J2" s="2526"/>
      <c r="K2" s="2526"/>
      <c r="L2" s="2526"/>
      <c r="M2" s="1176">
        <v>1.4999999999999999E-2</v>
      </c>
      <c r="N2" s="1177" t="s">
        <v>760</v>
      </c>
    </row>
    <row r="3" spans="1:15" ht="23.25" customHeight="1" x14ac:dyDescent="0.3">
      <c r="A3" s="2526"/>
      <c r="B3" s="2526"/>
      <c r="C3" s="2526"/>
      <c r="D3" s="2526"/>
      <c r="E3" s="2526"/>
      <c r="F3" s="2526"/>
      <c r="G3" s="2526"/>
      <c r="H3" s="2526"/>
      <c r="I3" s="2526"/>
      <c r="J3" s="2526"/>
      <c r="K3" s="2526"/>
      <c r="L3" s="2526"/>
      <c r="M3" s="1178">
        <v>42370</v>
      </c>
    </row>
    <row r="4" spans="1:15" ht="18.75" x14ac:dyDescent="0.3">
      <c r="A4" s="2464" t="str">
        <f>'21. Felújítás (K7)'!A1:L1</f>
        <v>Pilisvörösvár Város Önkormányzata Képviselő-testületének 7/2018. (IV. 27.) önkormányzati rendelete</v>
      </c>
      <c r="B4" s="2464"/>
      <c r="C4" s="2464"/>
      <c r="D4" s="2464"/>
      <c r="E4" s="2464"/>
      <c r="F4" s="2464"/>
      <c r="G4" s="2464"/>
      <c r="H4" s="2464"/>
      <c r="I4" s="2464"/>
      <c r="J4" s="2464"/>
      <c r="K4" s="2464"/>
      <c r="L4" s="2464"/>
      <c r="N4" s="1179">
        <f>M1+M2+1.25%</f>
        <v>2.75E-2</v>
      </c>
    </row>
    <row r="5" spans="1:15" ht="18.75" x14ac:dyDescent="0.3">
      <c r="A5" s="2464" t="str">
        <f>'21. Felújítás (K7)'!A2:L2</f>
        <v>az Önkormányzat  2017. évi zárszámadásáról</v>
      </c>
      <c r="B5" s="2464"/>
      <c r="C5" s="2464"/>
      <c r="D5" s="2464"/>
      <c r="E5" s="2464"/>
      <c r="F5" s="2464"/>
      <c r="G5" s="2464"/>
      <c r="H5" s="2464"/>
      <c r="I5" s="2464"/>
      <c r="J5" s="2464"/>
      <c r="K5" s="2464"/>
      <c r="L5" s="2464"/>
    </row>
    <row r="6" spans="1:15" ht="18.75" x14ac:dyDescent="0.3">
      <c r="A6" s="1141"/>
      <c r="B6" s="1141"/>
      <c r="C6" s="1141"/>
      <c r="D6" s="1141"/>
      <c r="E6" s="1141"/>
      <c r="F6" s="1141"/>
      <c r="G6" s="1141"/>
      <c r="H6" s="1141"/>
      <c r="I6" s="1141"/>
      <c r="J6" s="1141"/>
      <c r="K6" s="1141"/>
      <c r="L6" s="1141"/>
    </row>
    <row r="7" spans="1:15" ht="18" customHeight="1" x14ac:dyDescent="0.3">
      <c r="A7" s="2527" t="str">
        <f>[7]Tartalomjegyzék_2018!B32</f>
        <v>Pilisvörösvár Város Önkormányzata több éves fejlesztési célú elkötelezettségei</v>
      </c>
      <c r="B7" s="2527"/>
      <c r="C7" s="2527"/>
      <c r="D7" s="2527"/>
      <c r="E7" s="2527"/>
      <c r="F7" s="2527"/>
      <c r="G7" s="2527"/>
      <c r="H7" s="2527"/>
      <c r="I7" s="2527"/>
      <c r="J7" s="2527"/>
      <c r="K7" s="2527"/>
      <c r="L7" s="2527"/>
      <c r="M7" s="151"/>
      <c r="N7" s="151"/>
      <c r="O7" s="151"/>
    </row>
    <row r="8" spans="1:15" ht="18" customHeight="1" x14ac:dyDescent="0.3">
      <c r="A8" s="1142"/>
      <c r="B8" s="1142"/>
      <c r="C8" s="1142"/>
      <c r="D8" s="1142"/>
      <c r="E8" s="1142"/>
      <c r="F8" s="1142"/>
      <c r="G8" s="1142"/>
      <c r="H8" s="1142"/>
      <c r="I8" s="1142"/>
      <c r="J8" s="1142"/>
      <c r="K8" s="1142"/>
      <c r="L8" s="1180" t="s">
        <v>1127</v>
      </c>
      <c r="M8" s="151"/>
      <c r="N8" s="151"/>
      <c r="O8" s="151"/>
    </row>
    <row r="9" spans="1:15" ht="10.5" customHeight="1" x14ac:dyDescent="0.3">
      <c r="A9" s="1142"/>
      <c r="B9" s="1142"/>
      <c r="C9" s="1142"/>
      <c r="D9" s="1142"/>
      <c r="E9" s="1142"/>
      <c r="F9" s="1142"/>
      <c r="G9" s="1142"/>
      <c r="H9" s="1142"/>
      <c r="I9" s="1142"/>
      <c r="J9" s="1142"/>
      <c r="K9" s="1142"/>
      <c r="L9" s="1180"/>
      <c r="M9" s="151"/>
      <c r="N9" s="151"/>
      <c r="O9" s="151"/>
    </row>
    <row r="10" spans="1:15" ht="18.75" x14ac:dyDescent="0.3">
      <c r="A10" s="1181"/>
      <c r="B10" s="1181"/>
      <c r="C10" s="1181"/>
      <c r="L10" s="1180" t="s">
        <v>323</v>
      </c>
    </row>
    <row r="11" spans="1:15" s="1184" customFormat="1" ht="47.25" x14ac:dyDescent="0.25">
      <c r="A11" s="1182" t="s">
        <v>449</v>
      </c>
      <c r="B11" s="1182" t="s">
        <v>477</v>
      </c>
      <c r="C11" s="1182" t="s">
        <v>675</v>
      </c>
      <c r="D11" s="1182" t="s">
        <v>450</v>
      </c>
      <c r="E11" s="1182" t="s">
        <v>451</v>
      </c>
      <c r="F11" s="1182" t="s">
        <v>1128</v>
      </c>
      <c r="G11" s="1183" t="s">
        <v>480</v>
      </c>
      <c r="H11" s="1183" t="s">
        <v>743</v>
      </c>
      <c r="I11" s="1183" t="s">
        <v>901</v>
      </c>
      <c r="J11" s="1183" t="s">
        <v>1129</v>
      </c>
      <c r="K11" s="1183" t="s">
        <v>1130</v>
      </c>
      <c r="L11" s="1183" t="s">
        <v>444</v>
      </c>
    </row>
    <row r="12" spans="1:15" s="1187" customFormat="1" ht="22.5" customHeight="1" x14ac:dyDescent="0.25">
      <c r="A12" s="1185" t="s">
        <v>453</v>
      </c>
      <c r="B12" s="1185"/>
      <c r="C12" s="1185"/>
      <c r="D12" s="1185"/>
      <c r="E12" s="1186">
        <v>0</v>
      </c>
      <c r="F12" s="1186">
        <v>0</v>
      </c>
      <c r="G12" s="1186">
        <v>0</v>
      </c>
      <c r="H12" s="1186">
        <v>0</v>
      </c>
      <c r="I12" s="1186">
        <v>0</v>
      </c>
      <c r="J12" s="1186">
        <v>0</v>
      </c>
      <c r="K12" s="1186">
        <v>0</v>
      </c>
      <c r="L12" s="1186">
        <f>SUM(E12:K12)</f>
        <v>0</v>
      </c>
    </row>
    <row r="13" spans="1:15" s="1187" customFormat="1" ht="22.5" customHeight="1" x14ac:dyDescent="0.25">
      <c r="A13" s="1188" t="s">
        <v>817</v>
      </c>
      <c r="B13" s="1188" t="s">
        <v>479</v>
      </c>
      <c r="C13" s="1189">
        <v>13550</v>
      </c>
      <c r="D13" s="1190">
        <v>2013</v>
      </c>
      <c r="E13" s="1189">
        <f>2839+151+1320+1320</f>
        <v>5630</v>
      </c>
      <c r="F13" s="1189">
        <f>13550-2839-151-1320-1320</f>
        <v>7920</v>
      </c>
      <c r="G13" s="1189">
        <f>329988*4/1000</f>
        <v>1319.952</v>
      </c>
      <c r="H13" s="1189">
        <f t="shared" ref="H13:J13" si="0">329988*4/1000</f>
        <v>1319.952</v>
      </c>
      <c r="I13" s="1189">
        <f t="shared" si="0"/>
        <v>1319.952</v>
      </c>
      <c r="J13" s="1189">
        <f t="shared" si="0"/>
        <v>1319.952</v>
      </c>
      <c r="K13" s="1189">
        <f>5280-1320-1320</f>
        <v>2640</v>
      </c>
      <c r="L13" s="1189">
        <f>E13+SUM(G13:K13)</f>
        <v>13549.808000000001</v>
      </c>
    </row>
    <row r="14" spans="1:15" s="1187" customFormat="1" ht="22.5" customHeight="1" x14ac:dyDescent="0.25">
      <c r="A14" s="149" t="s">
        <v>767</v>
      </c>
      <c r="B14" s="1188"/>
      <c r="C14" s="1188"/>
      <c r="D14" s="1188"/>
      <c r="E14" s="1189">
        <v>453</v>
      </c>
      <c r="F14" s="1189">
        <f>SUM(G14:K14)</f>
        <v>3680.4079200000001</v>
      </c>
      <c r="G14" s="1189">
        <f>F13*N4</f>
        <v>217.8</v>
      </c>
      <c r="H14" s="1189">
        <f>($F$13-G13)*N4</f>
        <v>181.50131999999999</v>
      </c>
      <c r="I14" s="1189">
        <f>($F$13-SUM(G13:H13))*N4</f>
        <v>145.20264</v>
      </c>
      <c r="J14" s="1191">
        <f>($F$13-SUM(G13:I13))*N4</f>
        <v>108.90396000000001</v>
      </c>
      <c r="K14" s="1189">
        <v>3027</v>
      </c>
      <c r="L14" s="1189">
        <f>E14+SUM(G14:K14)</f>
        <v>4133.4079199999996</v>
      </c>
    </row>
    <row r="15" spans="1:15" s="1187" customFormat="1" ht="22.5" customHeight="1" x14ac:dyDescent="0.25">
      <c r="A15" s="1188" t="s">
        <v>478</v>
      </c>
      <c r="B15" s="1188"/>
      <c r="C15" s="1189"/>
      <c r="D15" s="1188"/>
      <c r="E15" s="1189"/>
      <c r="F15" s="1189"/>
      <c r="G15" s="1189">
        <v>0</v>
      </c>
      <c r="H15" s="1189">
        <v>0</v>
      </c>
      <c r="I15" s="1189">
        <v>0</v>
      </c>
      <c r="J15" s="1191">
        <v>0</v>
      </c>
      <c r="K15" s="1189">
        <v>0</v>
      </c>
      <c r="L15" s="1189">
        <f>E15+SUM(G15:K15)</f>
        <v>0</v>
      </c>
    </row>
    <row r="16" spans="1:15" s="1187" customFormat="1" ht="22.5" customHeight="1" x14ac:dyDescent="0.25">
      <c r="A16" s="1185" t="s">
        <v>454</v>
      </c>
      <c r="B16" s="1185"/>
      <c r="C16" s="1185"/>
      <c r="D16" s="1185"/>
      <c r="E16" s="1186">
        <f t="shared" ref="E16:L16" si="1">E13+E15</f>
        <v>5630</v>
      </c>
      <c r="F16" s="1186">
        <f t="shared" si="1"/>
        <v>7920</v>
      </c>
      <c r="G16" s="1186">
        <f t="shared" si="1"/>
        <v>1319.952</v>
      </c>
      <c r="H16" s="1186">
        <f t="shared" si="1"/>
        <v>1319.952</v>
      </c>
      <c r="I16" s="1186">
        <f t="shared" si="1"/>
        <v>1319.952</v>
      </c>
      <c r="J16" s="1186">
        <f t="shared" si="1"/>
        <v>1319.952</v>
      </c>
      <c r="K16" s="1186">
        <f t="shared" si="1"/>
        <v>2640</v>
      </c>
      <c r="L16" s="1186">
        <f t="shared" si="1"/>
        <v>13549.808000000001</v>
      </c>
    </row>
    <row r="17" spans="1:13" s="1187" customFormat="1" ht="22.5" customHeight="1" x14ac:dyDescent="0.25">
      <c r="A17" s="1192" t="s">
        <v>559</v>
      </c>
      <c r="B17" s="1192"/>
      <c r="C17" s="1192"/>
      <c r="D17" s="1192"/>
      <c r="E17" s="1193">
        <f t="shared" ref="E17:K17" si="2">E14</f>
        <v>453</v>
      </c>
      <c r="F17" s="1193">
        <f>F14</f>
        <v>3680.4079200000001</v>
      </c>
      <c r="G17" s="1193">
        <f t="shared" si="2"/>
        <v>217.8</v>
      </c>
      <c r="H17" s="1193">
        <f t="shared" si="2"/>
        <v>181.50131999999999</v>
      </c>
      <c r="I17" s="1193">
        <f t="shared" si="2"/>
        <v>145.20264</v>
      </c>
      <c r="J17" s="1193">
        <f t="shared" si="2"/>
        <v>108.90396000000001</v>
      </c>
      <c r="K17" s="1193">
        <f t="shared" si="2"/>
        <v>3027</v>
      </c>
      <c r="L17" s="1193">
        <f>SUM(L14)</f>
        <v>4133.4079199999996</v>
      </c>
    </row>
    <row r="18" spans="1:13" s="1187" customFormat="1" ht="22.5" customHeight="1" x14ac:dyDescent="0.25">
      <c r="A18" s="1192" t="s">
        <v>455</v>
      </c>
      <c r="B18" s="1192"/>
      <c r="C18" s="1192"/>
      <c r="D18" s="1192"/>
      <c r="E18" s="1193">
        <f>E16+E17</f>
        <v>6083</v>
      </c>
      <c r="F18" s="1193">
        <f t="shared" ref="F18:L18" si="3">F16+F17</f>
        <v>11600.40792</v>
      </c>
      <c r="G18" s="1193">
        <f t="shared" si="3"/>
        <v>1537.752</v>
      </c>
      <c r="H18" s="1193">
        <f t="shared" si="3"/>
        <v>1501.4533200000001</v>
      </c>
      <c r="I18" s="1193">
        <f t="shared" si="3"/>
        <v>1465.15464</v>
      </c>
      <c r="J18" s="1193">
        <f t="shared" si="3"/>
        <v>1428.8559600000001</v>
      </c>
      <c r="K18" s="1193">
        <f t="shared" si="3"/>
        <v>5667</v>
      </c>
      <c r="L18" s="1193">
        <f t="shared" si="3"/>
        <v>17683.215920000002</v>
      </c>
    </row>
    <row r="19" spans="1:13" s="1187" customFormat="1" ht="22.5" customHeight="1" x14ac:dyDescent="0.25">
      <c r="A19" s="1194" t="s">
        <v>456</v>
      </c>
      <c r="B19" s="1194"/>
      <c r="C19" s="1194"/>
      <c r="D19" s="1195"/>
      <c r="E19" s="1196">
        <f>E18+E12</f>
        <v>6083</v>
      </c>
      <c r="F19" s="1196">
        <f t="shared" ref="F19:L19" si="4">F18+F12</f>
        <v>11600.40792</v>
      </c>
      <c r="G19" s="1196">
        <f t="shared" si="4"/>
        <v>1537.752</v>
      </c>
      <c r="H19" s="1196">
        <f t="shared" si="4"/>
        <v>1501.4533200000001</v>
      </c>
      <c r="I19" s="1196">
        <f t="shared" si="4"/>
        <v>1465.15464</v>
      </c>
      <c r="J19" s="1196">
        <f t="shared" si="4"/>
        <v>1428.8559600000001</v>
      </c>
      <c r="K19" s="1196">
        <f t="shared" si="4"/>
        <v>5667</v>
      </c>
      <c r="L19" s="1196">
        <f t="shared" si="4"/>
        <v>17683.215920000002</v>
      </c>
    </row>
    <row r="20" spans="1:13" s="1187" customFormat="1" ht="22.5" customHeight="1" x14ac:dyDescent="0.25">
      <c r="A20" s="2525" t="s">
        <v>686</v>
      </c>
      <c r="B20" s="2525"/>
      <c r="C20" s="2525"/>
      <c r="D20" s="2525"/>
      <c r="E20" s="2525"/>
      <c r="F20" s="2525"/>
      <c r="G20" s="2525"/>
      <c r="H20" s="2525"/>
      <c r="I20" s="2525"/>
      <c r="J20" s="2525"/>
      <c r="K20" s="2525"/>
      <c r="L20" s="2525"/>
      <c r="M20" s="140"/>
    </row>
    <row r="21" spans="1:13" s="1187" customFormat="1" ht="22.5" customHeight="1" x14ac:dyDescent="0.25">
      <c r="A21" s="539" t="s">
        <v>685</v>
      </c>
      <c r="B21" s="142"/>
      <c r="C21" s="139"/>
      <c r="D21" s="143"/>
      <c r="E21" s="139"/>
      <c r="F21" s="139"/>
      <c r="G21" s="538">
        <f>H32</f>
        <v>352678.5</v>
      </c>
      <c r="H21" s="538">
        <f>G21*(1+$I$25)</f>
        <v>361142.78399999999</v>
      </c>
      <c r="I21" s="538">
        <f t="shared" ref="I21:J21" si="5">H21*(1+$I$25)</f>
        <v>369810.21081600001</v>
      </c>
      <c r="J21" s="538">
        <f t="shared" si="5"/>
        <v>378685.65587558399</v>
      </c>
      <c r="K21" s="141"/>
      <c r="L21" s="141"/>
      <c r="M21" s="141"/>
    </row>
    <row r="22" spans="1:13" ht="22.5" customHeight="1" x14ac:dyDescent="0.25"/>
    <row r="23" spans="1:13" ht="22.5" customHeight="1" x14ac:dyDescent="0.25">
      <c r="A23" s="1197"/>
    </row>
    <row r="24" spans="1:13" x14ac:dyDescent="0.25">
      <c r="D24" s="91"/>
      <c r="E24" s="91"/>
      <c r="F24" s="91"/>
      <c r="G24" s="91"/>
      <c r="H24" s="92"/>
      <c r="I24" s="92"/>
      <c r="J24" s="92"/>
    </row>
    <row r="25" spans="1:13" x14ac:dyDescent="0.25">
      <c r="B25" s="308" t="s">
        <v>4</v>
      </c>
      <c r="C25" s="309"/>
      <c r="D25" s="309"/>
      <c r="E25" s="309"/>
      <c r="F25" s="309"/>
      <c r="G25" s="310"/>
      <c r="H25" s="311">
        <f>'13. Működési bev. (B3,B4)'!G10+'13. Működési bev. (B3,B4)'!G15</f>
        <v>691508</v>
      </c>
      <c r="I25" s="1198">
        <v>2.4E-2</v>
      </c>
      <c r="J25" s="1199" t="s">
        <v>772</v>
      </c>
    </row>
    <row r="26" spans="1:13" x14ac:dyDescent="0.25">
      <c r="B26" s="308" t="s">
        <v>5</v>
      </c>
      <c r="C26" s="309"/>
      <c r="D26" s="309"/>
      <c r="E26" s="309"/>
      <c r="F26" s="309"/>
      <c r="G26" s="310"/>
      <c r="H26" s="311">
        <f>'2.Bevételek_részletes'!F27</f>
        <v>10315</v>
      </c>
      <c r="I26" s="93"/>
      <c r="J26" s="93"/>
    </row>
    <row r="27" spans="1:13" x14ac:dyDescent="0.25">
      <c r="B27" s="308" t="s">
        <v>6</v>
      </c>
      <c r="C27" s="309"/>
      <c r="D27" s="309"/>
      <c r="E27" s="309"/>
      <c r="F27" s="309"/>
      <c r="G27" s="310"/>
      <c r="H27" s="311"/>
    </row>
    <row r="28" spans="1:13" x14ac:dyDescent="0.25">
      <c r="B28" s="308" t="s">
        <v>7</v>
      </c>
      <c r="C28" s="309"/>
      <c r="D28" s="309"/>
      <c r="E28" s="309"/>
      <c r="F28" s="309"/>
      <c r="G28" s="310"/>
      <c r="H28" s="311">
        <v>0</v>
      </c>
    </row>
    <row r="29" spans="1:13" x14ac:dyDescent="0.25">
      <c r="B29" s="308" t="s">
        <v>8</v>
      </c>
      <c r="C29" s="309"/>
      <c r="D29" s="309"/>
      <c r="E29" s="309"/>
      <c r="F29" s="309"/>
      <c r="G29" s="310"/>
      <c r="H29" s="311">
        <f>'13. Működési bev. (B3,B4)'!G20</f>
        <v>3534</v>
      </c>
    </row>
    <row r="30" spans="1:13" x14ac:dyDescent="0.25">
      <c r="B30" s="308" t="s">
        <v>9</v>
      </c>
      <c r="C30" s="309"/>
      <c r="D30" s="309"/>
      <c r="E30" s="309"/>
      <c r="F30" s="309"/>
      <c r="G30" s="310"/>
      <c r="H30" s="311"/>
    </row>
    <row r="31" spans="1:13" x14ac:dyDescent="0.25">
      <c r="B31" s="312" t="s">
        <v>444</v>
      </c>
      <c r="C31" s="309"/>
      <c r="D31" s="309"/>
      <c r="E31" s="309"/>
      <c r="F31" s="309"/>
      <c r="G31" s="310"/>
      <c r="H31" s="311">
        <f>SUM(H25:H30)</f>
        <v>705357</v>
      </c>
      <c r="I31" s="1200">
        <f>'[7]15. Működési bev. (B3,B4)'!D11</f>
        <v>51000</v>
      </c>
      <c r="J31" s="1200">
        <f>H31+I31</f>
        <v>756357</v>
      </c>
    </row>
    <row r="32" spans="1:13" x14ac:dyDescent="0.25">
      <c r="B32" s="313"/>
      <c r="C32" s="313"/>
      <c r="D32" s="313"/>
      <c r="E32" s="313"/>
      <c r="F32" s="313"/>
      <c r="G32" s="314"/>
      <c r="H32" s="315">
        <f>H31/2</f>
        <v>352678.5</v>
      </c>
    </row>
  </sheetData>
  <mergeCells count="7">
    <mergeCell ref="A20:L20"/>
    <mergeCell ref="A1:L1"/>
    <mergeCell ref="A2:L2"/>
    <mergeCell ref="A3:L3"/>
    <mergeCell ref="A4:L4"/>
    <mergeCell ref="A5:L5"/>
    <mergeCell ref="A7:L7"/>
  </mergeCells>
  <pageMargins left="0.26" right="0.28000000000000003" top="0.74803149606299213" bottom="0.74803149606299213" header="0.31496062992125984" footer="0.31496062992125984"/>
  <pageSetup paperSize="9" scale="69" orientation="landscape" horizontalDpi="300" verticalDpi="30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Munka27">
    <tabColor theme="2" tint="-0.499984740745262"/>
    <pageSetUpPr fitToPage="1"/>
  </sheetPr>
  <dimension ref="A1:O32"/>
  <sheetViews>
    <sheetView view="pageBreakPreview" zoomScaleSheetLayoutView="100" workbookViewId="0">
      <selection activeCell="A5" sqref="A5:L5"/>
    </sheetView>
  </sheetViews>
  <sheetFormatPr defaultRowHeight="15" x14ac:dyDescent="0.25"/>
  <cols>
    <col min="1" max="1" width="55" style="1" customWidth="1"/>
    <col min="2" max="2" width="39" style="1" bestFit="1" customWidth="1"/>
    <col min="3" max="3" width="15.7109375" style="1" customWidth="1"/>
    <col min="4" max="4" width="14" style="1" customWidth="1"/>
    <col min="5" max="5" width="10.85546875" style="1" customWidth="1"/>
    <col min="6" max="6" width="14" style="1" customWidth="1"/>
    <col min="7" max="7" width="15.140625" style="1" customWidth="1"/>
    <col min="8" max="8" width="12.28515625" style="1" customWidth="1"/>
    <col min="9" max="9" width="12.85546875" style="1" customWidth="1"/>
    <col min="10" max="10" width="12.140625" style="1" customWidth="1"/>
    <col min="11" max="11" width="13.28515625" style="1" customWidth="1"/>
    <col min="12" max="12" width="14.140625" style="1" customWidth="1"/>
    <col min="13" max="14" width="10.140625" style="1" bestFit="1" customWidth="1"/>
    <col min="15" max="16384" width="9.140625" style="1"/>
  </cols>
  <sheetData>
    <row r="1" spans="1:15" ht="21" customHeight="1" x14ac:dyDescent="0.3">
      <c r="A1" s="2526"/>
      <c r="B1" s="2526"/>
      <c r="C1" s="2526"/>
      <c r="D1" s="2526"/>
      <c r="E1" s="2526"/>
      <c r="F1" s="2526"/>
      <c r="G1" s="2526"/>
      <c r="H1" s="2526"/>
      <c r="I1" s="2526"/>
      <c r="J1" s="2526"/>
      <c r="K1" s="2526"/>
      <c r="L1" s="2526"/>
      <c r="M1" s="472">
        <v>0</v>
      </c>
      <c r="N1" s="475" t="s">
        <v>761</v>
      </c>
    </row>
    <row r="2" spans="1:15" ht="21" customHeight="1" x14ac:dyDescent="0.3">
      <c r="A2" s="2526"/>
      <c r="B2" s="2526"/>
      <c r="C2" s="2526"/>
      <c r="D2" s="2526"/>
      <c r="E2" s="2526"/>
      <c r="F2" s="2526"/>
      <c r="G2" s="2526"/>
      <c r="H2" s="2526"/>
      <c r="I2" s="2526"/>
      <c r="J2" s="2526"/>
      <c r="K2" s="2526"/>
      <c r="L2" s="2526"/>
      <c r="M2" s="471">
        <v>1.4999999999999999E-2</v>
      </c>
      <c r="N2" s="473" t="s">
        <v>760</v>
      </c>
    </row>
    <row r="3" spans="1:15" ht="23.25" customHeight="1" x14ac:dyDescent="0.3">
      <c r="A3" s="2526"/>
      <c r="B3" s="2526"/>
      <c r="C3" s="2526"/>
      <c r="D3" s="2526"/>
      <c r="E3" s="2526"/>
      <c r="F3" s="2526"/>
      <c r="G3" s="2526"/>
      <c r="H3" s="2526"/>
      <c r="I3" s="2526"/>
      <c r="J3" s="2526"/>
      <c r="K3" s="2526"/>
      <c r="L3" s="2526"/>
      <c r="M3" s="474">
        <v>42370</v>
      </c>
    </row>
    <row r="4" spans="1:15" ht="18.75" x14ac:dyDescent="0.3">
      <c r="A4" s="2464" t="str">
        <f>Tartalomjegyzék_2017!A1</f>
        <v>Pilisvörösvár Város Önkormányzata Képviselő-testületének 7/2018. (IV. 27.) önkormányzati rendelete</v>
      </c>
      <c r="B4" s="2464"/>
      <c r="C4" s="2464"/>
      <c r="D4" s="2464"/>
      <c r="E4" s="2464"/>
      <c r="F4" s="2464"/>
      <c r="G4" s="2464"/>
      <c r="H4" s="2464"/>
      <c r="I4" s="2464"/>
      <c r="J4" s="2464"/>
      <c r="K4" s="2464"/>
      <c r="L4" s="2464"/>
      <c r="N4" s="493">
        <f>M1+M2+1.25%</f>
        <v>2.75E-2</v>
      </c>
    </row>
    <row r="5" spans="1:15" ht="18.75" x14ac:dyDescent="0.3">
      <c r="A5" s="2464" t="str">
        <f>Tartalomjegyzék_2017!A2</f>
        <v>az Önkormányzat  2017. évi zárszámadásáról</v>
      </c>
      <c r="B5" s="2464"/>
      <c r="C5" s="2464"/>
      <c r="D5" s="2464"/>
      <c r="E5" s="2464"/>
      <c r="F5" s="2464"/>
      <c r="G5" s="2464"/>
      <c r="H5" s="2464"/>
      <c r="I5" s="2464"/>
      <c r="J5" s="2464"/>
      <c r="K5" s="2464"/>
      <c r="L5" s="2464"/>
    </row>
    <row r="6" spans="1:15" ht="18.75" x14ac:dyDescent="0.3">
      <c r="A6" s="487"/>
      <c r="B6" s="487"/>
      <c r="C6" s="487"/>
      <c r="D6" s="487"/>
      <c r="E6" s="487"/>
      <c r="F6" s="487"/>
      <c r="G6" s="487"/>
      <c r="H6" s="487"/>
      <c r="I6" s="487"/>
      <c r="J6" s="487"/>
      <c r="K6" s="487"/>
      <c r="L6" s="487"/>
    </row>
    <row r="7" spans="1:15" ht="18" customHeight="1" x14ac:dyDescent="0.3">
      <c r="A7" s="2527" t="str">
        <f>Tartalomjegyzék_2017!B29</f>
        <v>Pilisvörösvár Város Önkormányzata több éves fejlesztési célú elkötelezettségei</v>
      </c>
      <c r="B7" s="2527"/>
      <c r="C7" s="2527"/>
      <c r="D7" s="2527"/>
      <c r="E7" s="2527"/>
      <c r="F7" s="2527"/>
      <c r="G7" s="2527"/>
      <c r="H7" s="2527"/>
      <c r="I7" s="2527"/>
      <c r="J7" s="2527"/>
      <c r="K7" s="2527"/>
      <c r="L7" s="2527"/>
      <c r="M7" s="151"/>
      <c r="N7" s="151"/>
      <c r="O7" s="151"/>
    </row>
    <row r="8" spans="1:15" ht="18" customHeight="1" x14ac:dyDescent="0.3">
      <c r="A8" s="614"/>
      <c r="B8" s="614"/>
      <c r="C8" s="614"/>
      <c r="D8" s="614"/>
      <c r="E8" s="614"/>
      <c r="F8" s="614"/>
      <c r="G8" s="614"/>
      <c r="H8" s="614"/>
      <c r="I8" s="614"/>
      <c r="J8" s="614"/>
      <c r="K8" s="614"/>
      <c r="L8" s="602" t="s">
        <v>1127</v>
      </c>
      <c r="M8" s="151"/>
      <c r="N8" s="151"/>
      <c r="O8" s="151"/>
    </row>
    <row r="9" spans="1:15" ht="10.5" customHeight="1" x14ac:dyDescent="0.3">
      <c r="A9" s="152"/>
      <c r="B9" s="152"/>
      <c r="C9" s="152"/>
      <c r="D9" s="152"/>
      <c r="E9" s="152"/>
      <c r="F9" s="152"/>
      <c r="G9" s="152"/>
      <c r="H9" s="152"/>
      <c r="I9" s="152"/>
      <c r="J9" s="152"/>
      <c r="K9" s="152"/>
      <c r="L9" s="602"/>
      <c r="M9" s="151"/>
      <c r="N9" s="151"/>
      <c r="O9" s="151"/>
    </row>
    <row r="10" spans="1:15" ht="18.75" x14ac:dyDescent="0.3">
      <c r="A10" s="2"/>
      <c r="B10" s="2"/>
      <c r="C10" s="2"/>
      <c r="L10" s="602" t="s">
        <v>323</v>
      </c>
    </row>
    <row r="11" spans="1:15" s="9" customFormat="1" ht="47.25" x14ac:dyDescent="0.25">
      <c r="A11" s="8" t="s">
        <v>449</v>
      </c>
      <c r="B11" s="8" t="s">
        <v>477</v>
      </c>
      <c r="C11" s="8" t="s">
        <v>675</v>
      </c>
      <c r="D11" s="8" t="s">
        <v>450</v>
      </c>
      <c r="E11" s="8" t="s">
        <v>451</v>
      </c>
      <c r="F11" s="8" t="s">
        <v>903</v>
      </c>
      <c r="G11" s="615" t="s">
        <v>452</v>
      </c>
      <c r="H11" s="615" t="s">
        <v>480</v>
      </c>
      <c r="I11" s="615" t="s">
        <v>743</v>
      </c>
      <c r="J11" s="615" t="s">
        <v>901</v>
      </c>
      <c r="K11" s="615" t="s">
        <v>902</v>
      </c>
      <c r="L11" s="615" t="s">
        <v>444</v>
      </c>
    </row>
    <row r="12" spans="1:15" s="5" customFormat="1" ht="22.5" customHeight="1" x14ac:dyDescent="0.25">
      <c r="A12" s="95" t="s">
        <v>453</v>
      </c>
      <c r="B12" s="95"/>
      <c r="C12" s="95"/>
      <c r="D12" s="95"/>
      <c r="E12" s="96">
        <v>0</v>
      </c>
      <c r="F12" s="96">
        <v>0</v>
      </c>
      <c r="G12" s="96">
        <v>0</v>
      </c>
      <c r="H12" s="96">
        <v>0</v>
      </c>
      <c r="I12" s="96">
        <v>0</v>
      </c>
      <c r="J12" s="96">
        <v>0</v>
      </c>
      <c r="K12" s="96">
        <v>0</v>
      </c>
      <c r="L12" s="96">
        <f>SUM(E12:K12)</f>
        <v>0</v>
      </c>
    </row>
    <row r="13" spans="1:15" s="5" customFormat="1" ht="22.5" customHeight="1" x14ac:dyDescent="0.25">
      <c r="A13" s="10" t="s">
        <v>817</v>
      </c>
      <c r="B13" s="10" t="s">
        <v>479</v>
      </c>
      <c r="C13" s="11">
        <v>13550</v>
      </c>
      <c r="D13" s="150">
        <v>2013</v>
      </c>
      <c r="E13" s="11">
        <f>2839+151+1320</f>
        <v>4310</v>
      </c>
      <c r="F13" s="11">
        <f>13550-2839-151-1320</f>
        <v>9240</v>
      </c>
      <c r="G13" s="11">
        <f>329988*4/1000</f>
        <v>1319.952</v>
      </c>
      <c r="H13" s="11">
        <f t="shared" ref="H13:J13" si="0">329988*4/1000</f>
        <v>1319.952</v>
      </c>
      <c r="I13" s="11">
        <f t="shared" si="0"/>
        <v>1319.952</v>
      </c>
      <c r="J13" s="11">
        <f t="shared" si="0"/>
        <v>1319.952</v>
      </c>
      <c r="K13" s="11">
        <f>5280-1320</f>
        <v>3960</v>
      </c>
      <c r="L13" s="11">
        <f>E13+SUM(G13:K13)</f>
        <v>13549.808000000001</v>
      </c>
    </row>
    <row r="14" spans="1:15" s="5" customFormat="1" ht="22.5" customHeight="1" x14ac:dyDescent="0.25">
      <c r="A14" s="149" t="s">
        <v>767</v>
      </c>
      <c r="B14" s="10"/>
      <c r="C14" s="10"/>
      <c r="D14" s="10"/>
      <c r="E14" s="11">
        <v>453</v>
      </c>
      <c r="F14" s="11">
        <f>SUM(G14:K14)</f>
        <v>3825.6079199999999</v>
      </c>
      <c r="G14" s="11">
        <f>F13*N4</f>
        <v>254.1</v>
      </c>
      <c r="H14" s="11">
        <f>($F$13-G13)*N4</f>
        <v>217.80132</v>
      </c>
      <c r="I14" s="11">
        <f>($F$13-SUM(G13:H13))*N4</f>
        <v>181.50263999999999</v>
      </c>
      <c r="J14" s="65">
        <f>($F$13-SUM(G13:I13))*N4</f>
        <v>145.20396</v>
      </c>
      <c r="K14" s="11">
        <v>3027</v>
      </c>
      <c r="L14" s="11">
        <f>E14+SUM(G14:K14)</f>
        <v>4278.6079200000004</v>
      </c>
    </row>
    <row r="15" spans="1:15" s="5" customFormat="1" ht="22.5" customHeight="1" x14ac:dyDescent="0.25">
      <c r="A15" s="10" t="s">
        <v>478</v>
      </c>
      <c r="B15" s="10"/>
      <c r="C15" s="11"/>
      <c r="D15" s="10"/>
      <c r="E15" s="11"/>
      <c r="F15" s="11"/>
      <c r="G15" s="11">
        <v>0</v>
      </c>
      <c r="H15" s="11">
        <v>0</v>
      </c>
      <c r="I15" s="11">
        <v>0</v>
      </c>
      <c r="J15" s="65">
        <v>0</v>
      </c>
      <c r="K15" s="11">
        <v>0</v>
      </c>
      <c r="L15" s="11">
        <f>E15+SUM(G15:K15)</f>
        <v>0</v>
      </c>
      <c r="M15" s="5" t="s">
        <v>904</v>
      </c>
    </row>
    <row r="16" spans="1:15" s="5" customFormat="1" ht="22.5" customHeight="1" x14ac:dyDescent="0.25">
      <c r="A16" s="95" t="s">
        <v>454</v>
      </c>
      <c r="B16" s="95"/>
      <c r="C16" s="95"/>
      <c r="D16" s="95"/>
      <c r="E16" s="96">
        <f t="shared" ref="E16:L16" si="1">E13+E15</f>
        <v>4310</v>
      </c>
      <c r="F16" s="96">
        <f t="shared" si="1"/>
        <v>9240</v>
      </c>
      <c r="G16" s="96">
        <f t="shared" si="1"/>
        <v>1319.952</v>
      </c>
      <c r="H16" s="96">
        <f t="shared" si="1"/>
        <v>1319.952</v>
      </c>
      <c r="I16" s="96">
        <f t="shared" si="1"/>
        <v>1319.952</v>
      </c>
      <c r="J16" s="96">
        <f t="shared" si="1"/>
        <v>1319.952</v>
      </c>
      <c r="K16" s="96">
        <f t="shared" si="1"/>
        <v>3960</v>
      </c>
      <c r="L16" s="96">
        <f t="shared" si="1"/>
        <v>13549.808000000001</v>
      </c>
    </row>
    <row r="17" spans="1:13" s="5" customFormat="1" ht="22.5" customHeight="1" x14ac:dyDescent="0.25">
      <c r="A17" s="144" t="s">
        <v>559</v>
      </c>
      <c r="B17" s="144"/>
      <c r="C17" s="144"/>
      <c r="D17" s="144"/>
      <c r="E17" s="145">
        <f t="shared" ref="E17:K17" si="2">E14</f>
        <v>453</v>
      </c>
      <c r="F17" s="145">
        <f t="shared" si="2"/>
        <v>3825.6079199999999</v>
      </c>
      <c r="G17" s="145">
        <f t="shared" si="2"/>
        <v>254.1</v>
      </c>
      <c r="H17" s="145">
        <f t="shared" si="2"/>
        <v>217.80132</v>
      </c>
      <c r="I17" s="145">
        <f t="shared" si="2"/>
        <v>181.50263999999999</v>
      </c>
      <c r="J17" s="145">
        <f t="shared" si="2"/>
        <v>145.20396</v>
      </c>
      <c r="K17" s="145">
        <f t="shared" si="2"/>
        <v>3027</v>
      </c>
      <c r="L17" s="145">
        <f>SUM(L14)</f>
        <v>4278.6079200000004</v>
      </c>
    </row>
    <row r="18" spans="1:13" s="5" customFormat="1" ht="22.5" customHeight="1" x14ac:dyDescent="0.25">
      <c r="A18" s="144" t="s">
        <v>455</v>
      </c>
      <c r="B18" s="144"/>
      <c r="C18" s="144"/>
      <c r="D18" s="144"/>
      <c r="E18" s="145">
        <f>E16+E17</f>
        <v>4763</v>
      </c>
      <c r="F18" s="145">
        <f t="shared" ref="F18:L18" si="3">F16+F17</f>
        <v>13065.60792</v>
      </c>
      <c r="G18" s="145">
        <f t="shared" si="3"/>
        <v>1574.0519999999999</v>
      </c>
      <c r="H18" s="145">
        <f t="shared" si="3"/>
        <v>1537.75332</v>
      </c>
      <c r="I18" s="145">
        <f t="shared" si="3"/>
        <v>1501.4546399999999</v>
      </c>
      <c r="J18" s="145">
        <f t="shared" si="3"/>
        <v>1465.1559600000001</v>
      </c>
      <c r="K18" s="145">
        <f t="shared" si="3"/>
        <v>6987</v>
      </c>
      <c r="L18" s="145">
        <f t="shared" si="3"/>
        <v>17828.415919999999</v>
      </c>
    </row>
    <row r="19" spans="1:13" s="5" customFormat="1" ht="22.5" customHeight="1" x14ac:dyDescent="0.25">
      <c r="A19" s="146" t="s">
        <v>456</v>
      </c>
      <c r="B19" s="146"/>
      <c r="C19" s="146"/>
      <c r="D19" s="147"/>
      <c r="E19" s="148">
        <f>E18+E12</f>
        <v>4763</v>
      </c>
      <c r="F19" s="148">
        <f t="shared" ref="F19:L19" si="4">F18+F12</f>
        <v>13065.60792</v>
      </c>
      <c r="G19" s="148">
        <f t="shared" si="4"/>
        <v>1574.0519999999999</v>
      </c>
      <c r="H19" s="148">
        <f t="shared" si="4"/>
        <v>1537.75332</v>
      </c>
      <c r="I19" s="148">
        <f t="shared" si="4"/>
        <v>1501.4546399999999</v>
      </c>
      <c r="J19" s="148">
        <f t="shared" si="4"/>
        <v>1465.1559600000001</v>
      </c>
      <c r="K19" s="148">
        <f t="shared" si="4"/>
        <v>6987</v>
      </c>
      <c r="L19" s="148">
        <f t="shared" si="4"/>
        <v>17828.415919999999</v>
      </c>
    </row>
    <row r="20" spans="1:13" s="5" customFormat="1" ht="22.5" customHeight="1" x14ac:dyDescent="0.25">
      <c r="A20" s="2525" t="s">
        <v>686</v>
      </c>
      <c r="B20" s="2525"/>
      <c r="C20" s="2525"/>
      <c r="D20" s="2525"/>
      <c r="E20" s="2525"/>
      <c r="F20" s="2525"/>
      <c r="G20" s="2525"/>
      <c r="H20" s="2525"/>
      <c r="I20" s="2525"/>
      <c r="J20" s="2525"/>
      <c r="K20" s="2525"/>
      <c r="L20" s="2525"/>
      <c r="M20" s="140"/>
    </row>
    <row r="21" spans="1:13" s="5" customFormat="1" ht="22.5" customHeight="1" x14ac:dyDescent="0.25">
      <c r="A21" s="539" t="s">
        <v>685</v>
      </c>
      <c r="B21" s="142"/>
      <c r="C21" s="139"/>
      <c r="D21" s="143"/>
      <c r="E21" s="139"/>
      <c r="F21" s="139"/>
      <c r="G21" s="538">
        <f>H32</f>
        <v>294439.5</v>
      </c>
      <c r="H21" s="538">
        <f>G21*(1+$I$25)</f>
        <v>295617.25799999997</v>
      </c>
      <c r="I21" s="538">
        <f t="shared" ref="I21:J21" si="5">H21*(1+$I$25)</f>
        <v>296799.72703199997</v>
      </c>
      <c r="J21" s="538">
        <f t="shared" si="5"/>
        <v>297986.92594012799</v>
      </c>
      <c r="K21" s="141"/>
      <c r="L21" s="141"/>
      <c r="M21" s="141"/>
    </row>
    <row r="22" spans="1:13" ht="22.5" customHeight="1" x14ac:dyDescent="0.25"/>
    <row r="23" spans="1:13" ht="22.5" customHeight="1" x14ac:dyDescent="0.25">
      <c r="A23" s="94"/>
    </row>
    <row r="24" spans="1:13" x14ac:dyDescent="0.25">
      <c r="D24" s="91"/>
      <c r="E24" s="91"/>
      <c r="F24" s="91"/>
      <c r="G24" s="91"/>
      <c r="H24" s="92"/>
      <c r="I24" s="92"/>
      <c r="J24" s="92"/>
    </row>
    <row r="25" spans="1:13" x14ac:dyDescent="0.25">
      <c r="B25" s="308" t="s">
        <v>4</v>
      </c>
      <c r="C25" s="309"/>
      <c r="D25" s="309"/>
      <c r="E25" s="309"/>
      <c r="F25" s="309"/>
      <c r="G25" s="310"/>
      <c r="H25" s="311">
        <f>'13. Működési bev. (B3,B4)'!E10+'13. Működési bev. (B3,B4)'!E11+'13. Működési bev. (B3,B4)'!E13+'13. Működési bev. (B3,B4)'!E14</f>
        <v>575500</v>
      </c>
      <c r="I25" s="480">
        <v>4.0000000000000001E-3</v>
      </c>
      <c r="J25" s="481" t="s">
        <v>772</v>
      </c>
    </row>
    <row r="26" spans="1:13" x14ac:dyDescent="0.25">
      <c r="B26" s="308" t="s">
        <v>5</v>
      </c>
      <c r="C26" s="309"/>
      <c r="D26" s="309"/>
      <c r="E26" s="309"/>
      <c r="F26" s="309"/>
      <c r="G26" s="310"/>
      <c r="H26" s="311">
        <f>'2.Bevételek_részletes'!D27</f>
        <v>8379</v>
      </c>
      <c r="I26" s="93"/>
      <c r="J26" s="93"/>
    </row>
    <row r="27" spans="1:13" x14ac:dyDescent="0.25">
      <c r="B27" s="308" t="s">
        <v>6</v>
      </c>
      <c r="C27" s="309"/>
      <c r="D27" s="309"/>
      <c r="E27" s="309"/>
      <c r="F27" s="309"/>
      <c r="G27" s="310"/>
      <c r="H27" s="311"/>
    </row>
    <row r="28" spans="1:13" x14ac:dyDescent="0.25">
      <c r="B28" s="308" t="s">
        <v>7</v>
      </c>
      <c r="C28" s="309"/>
      <c r="D28" s="309"/>
      <c r="E28" s="309"/>
      <c r="F28" s="309"/>
      <c r="G28" s="310"/>
      <c r="H28" s="311"/>
    </row>
    <row r="29" spans="1:13" x14ac:dyDescent="0.25">
      <c r="B29" s="308" t="s">
        <v>8</v>
      </c>
      <c r="C29" s="309"/>
      <c r="D29" s="309"/>
      <c r="E29" s="309"/>
      <c r="F29" s="309"/>
      <c r="G29" s="310"/>
      <c r="H29" s="311">
        <f>'13. Működési bev. (B3,B4)'!E20</f>
        <v>5000</v>
      </c>
    </row>
    <row r="30" spans="1:13" x14ac:dyDescent="0.25">
      <c r="B30" s="308" t="s">
        <v>9</v>
      </c>
      <c r="C30" s="309"/>
      <c r="D30" s="309"/>
      <c r="E30" s="309"/>
      <c r="F30" s="309"/>
      <c r="G30" s="310"/>
      <c r="H30" s="311"/>
    </row>
    <row r="31" spans="1:13" x14ac:dyDescent="0.25">
      <c r="B31" s="312" t="s">
        <v>444</v>
      </c>
      <c r="C31" s="309"/>
      <c r="D31" s="309"/>
      <c r="E31" s="309"/>
      <c r="F31" s="309"/>
      <c r="G31" s="310"/>
      <c r="H31" s="311">
        <f>SUM(H25:H30)</f>
        <v>588879</v>
      </c>
      <c r="I31" s="805">
        <f>'13. Működési bev. (B3,B4)'!E12</f>
        <v>51000</v>
      </c>
      <c r="J31" s="805">
        <f>H31+I31</f>
        <v>639879</v>
      </c>
    </row>
    <row r="32" spans="1:13" x14ac:dyDescent="0.25">
      <c r="B32" s="313"/>
      <c r="C32" s="313"/>
      <c r="D32" s="313"/>
      <c r="E32" s="313"/>
      <c r="F32" s="313"/>
      <c r="G32" s="314"/>
      <c r="H32" s="315">
        <f>H31/2</f>
        <v>294439.5</v>
      </c>
    </row>
  </sheetData>
  <mergeCells count="7">
    <mergeCell ref="A1:L1"/>
    <mergeCell ref="A3:L3"/>
    <mergeCell ref="A2:L2"/>
    <mergeCell ref="A20:L20"/>
    <mergeCell ref="A4:L4"/>
    <mergeCell ref="A5:L5"/>
    <mergeCell ref="A7:L7"/>
  </mergeCells>
  <phoneticPr fontId="62" type="noConversion"/>
  <pageMargins left="0.26" right="0.28000000000000003" top="0.74803149606299213" bottom="0.74803149606299213" header="0.31496062992125984" footer="0.31496062992125984"/>
  <pageSetup paperSize="9" scale="69" orientation="landscape" horizontalDpi="300" verticalDpi="30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Munka28">
    <pageSetUpPr fitToPage="1"/>
  </sheetPr>
  <dimension ref="A1:J171"/>
  <sheetViews>
    <sheetView view="pageBreakPreview" zoomScale="80" zoomScaleNormal="80" zoomScaleSheetLayoutView="80" workbookViewId="0">
      <selection activeCell="A2" sqref="A2:O2"/>
    </sheetView>
  </sheetViews>
  <sheetFormatPr defaultColWidth="7.140625" defaultRowHeight="12.75" x14ac:dyDescent="0.2"/>
  <cols>
    <col min="1" max="1" width="85.28515625" style="67" bestFit="1" customWidth="1"/>
    <col min="2" max="2" width="25.28515625" style="675" bestFit="1" customWidth="1"/>
    <col min="3" max="3" width="18.140625" style="67" customWidth="1"/>
    <col min="4" max="4" width="15.85546875" style="67" customWidth="1"/>
    <col min="5" max="5" width="22.5703125" style="67" customWidth="1"/>
    <col min="6" max="6" width="21" style="67" customWidth="1"/>
    <col min="7" max="7" width="15" style="67" customWidth="1"/>
    <col min="8" max="8" width="10" style="67" bestFit="1" customWidth="1"/>
    <col min="9" max="9" width="8.7109375" style="67" bestFit="1" customWidth="1"/>
    <col min="10" max="16384" width="7.140625" style="67"/>
  </cols>
  <sheetData>
    <row r="1" spans="1:10" ht="22.5" x14ac:dyDescent="0.3">
      <c r="A1" s="2528" t="str">
        <f>Tartalomjegyzék_2017!A1</f>
        <v>Pilisvörösvár Város Önkormányzata Képviselő-testületének 7/2018. (IV. 27.) önkormányzati rendelete</v>
      </c>
      <c r="B1" s="2528"/>
      <c r="C1" s="2528"/>
      <c r="D1" s="2528"/>
      <c r="E1" s="2528"/>
      <c r="F1" s="2528"/>
      <c r="G1" s="492"/>
      <c r="H1" s="153"/>
      <c r="I1" s="66"/>
      <c r="J1" s="66"/>
    </row>
    <row r="2" spans="1:10" ht="22.5" x14ac:dyDescent="0.3">
      <c r="A2" s="2528" t="str">
        <f>Tartalomjegyzék_2017!A2</f>
        <v>az Önkormányzat  2017. évi zárszámadásáról</v>
      </c>
      <c r="B2" s="2528"/>
      <c r="C2" s="2528"/>
      <c r="D2" s="2528"/>
      <c r="E2" s="2528"/>
      <c r="F2" s="2528"/>
      <c r="G2" s="492"/>
      <c r="H2" s="154"/>
    </row>
    <row r="3" spans="1:10" ht="17.25" customHeight="1" x14ac:dyDescent="0.3">
      <c r="A3" s="853"/>
      <c r="B3" s="854"/>
      <c r="C3" s="853"/>
      <c r="D3" s="853"/>
      <c r="E3" s="853"/>
      <c r="F3" s="853"/>
      <c r="G3" s="488"/>
      <c r="H3" s="154"/>
    </row>
    <row r="4" spans="1:10" ht="22.5" x14ac:dyDescent="0.3">
      <c r="A4" s="2530" t="str">
        <f>Tartalomjegyzék_2017!B30</f>
        <v>Pilisvörösvár Város Önkormányzata engedélyezett létszáma költségvetési szervenként</v>
      </c>
      <c r="B4" s="2530"/>
      <c r="C4" s="2530"/>
      <c r="D4" s="2530"/>
      <c r="E4" s="2530"/>
      <c r="F4" s="2530"/>
      <c r="G4" s="491"/>
      <c r="H4" s="154"/>
    </row>
    <row r="5" spans="1:10" ht="23.25" x14ac:dyDescent="0.3">
      <c r="A5" s="960"/>
      <c r="B5" s="960"/>
      <c r="C5" s="960"/>
      <c r="D5" s="960"/>
      <c r="E5" s="960"/>
      <c r="F5" s="962" t="s">
        <v>1177</v>
      </c>
      <c r="G5" s="491"/>
      <c r="H5" s="154"/>
    </row>
    <row r="6" spans="1:10" ht="28.5" customHeight="1" x14ac:dyDescent="0.3">
      <c r="A6" s="600"/>
      <c r="B6" s="676"/>
      <c r="C6" s="600"/>
      <c r="D6" s="600"/>
      <c r="E6" s="600"/>
      <c r="F6" s="963"/>
      <c r="G6" s="491"/>
      <c r="H6" s="154"/>
    </row>
    <row r="7" spans="1:10" s="69" customFormat="1" ht="18.75" customHeight="1" x14ac:dyDescent="0.2">
      <c r="A7" s="156"/>
      <c r="B7" s="670"/>
      <c r="C7" s="157"/>
      <c r="D7" s="157"/>
      <c r="E7" s="158"/>
      <c r="F7" s="540"/>
      <c r="G7" s="159"/>
      <c r="H7" s="160"/>
      <c r="J7" s="70"/>
    </row>
    <row r="8" spans="1:10" s="71" customFormat="1" ht="59.25" customHeight="1" x14ac:dyDescent="0.3">
      <c r="A8" s="161" t="s">
        <v>560</v>
      </c>
      <c r="B8" s="677" t="s">
        <v>561</v>
      </c>
      <c r="C8" s="677" t="s">
        <v>562</v>
      </c>
      <c r="D8" s="677" t="s">
        <v>563</v>
      </c>
      <c r="E8" s="669" t="s">
        <v>693</v>
      </c>
      <c r="F8" s="677" t="s">
        <v>938</v>
      </c>
      <c r="G8" s="162"/>
      <c r="H8" s="788"/>
      <c r="J8" s="72"/>
    </row>
    <row r="9" spans="1:10" s="71" customFormat="1" ht="40.5" customHeight="1" x14ac:dyDescent="0.3">
      <c r="A9" s="161" t="s">
        <v>744</v>
      </c>
      <c r="B9" s="460">
        <v>5</v>
      </c>
      <c r="C9" s="789">
        <v>2</v>
      </c>
      <c r="D9" s="460">
        <f>SUM(B9:C9)</f>
        <v>7</v>
      </c>
      <c r="E9" s="460">
        <v>0</v>
      </c>
      <c r="F9" s="460">
        <v>0</v>
      </c>
      <c r="G9" s="162"/>
      <c r="H9" s="788"/>
      <c r="J9" s="72"/>
    </row>
    <row r="10" spans="1:10" s="462" customFormat="1" ht="32.25" customHeight="1" x14ac:dyDescent="0.2">
      <c r="A10" s="790" t="s">
        <v>564</v>
      </c>
      <c r="B10" s="460">
        <v>25</v>
      </c>
      <c r="C10" s="789">
        <v>19.5</v>
      </c>
      <c r="D10" s="460">
        <f>SUM(B10:C10)</f>
        <v>44.5</v>
      </c>
      <c r="E10" s="460">
        <v>2</v>
      </c>
      <c r="F10" s="460">
        <v>0</v>
      </c>
      <c r="G10" s="461"/>
      <c r="H10" s="791"/>
      <c r="J10" s="463"/>
    </row>
    <row r="11" spans="1:10" s="462" customFormat="1" ht="36.75" customHeight="1" x14ac:dyDescent="0.2">
      <c r="A11" s="790" t="s">
        <v>565</v>
      </c>
      <c r="B11" s="460">
        <v>21</v>
      </c>
      <c r="C11" s="789">
        <f>16.5-1</f>
        <v>15.5</v>
      </c>
      <c r="D11" s="460">
        <f>SUM(B11:C11)</f>
        <v>36.5</v>
      </c>
      <c r="E11" s="460">
        <v>2</v>
      </c>
      <c r="F11" s="460">
        <v>0</v>
      </c>
      <c r="G11" s="461"/>
      <c r="H11" s="791"/>
      <c r="J11" s="463"/>
    </row>
    <row r="12" spans="1:10" s="462" customFormat="1" ht="32.25" customHeight="1" x14ac:dyDescent="0.2">
      <c r="A12" s="790" t="s">
        <v>566</v>
      </c>
      <c r="B12" s="460">
        <v>6.5</v>
      </c>
      <c r="C12" s="789">
        <f>6.5+0.5</f>
        <v>7</v>
      </c>
      <c r="D12" s="460">
        <f>SUM(B12:C12)</f>
        <v>13.5</v>
      </c>
      <c r="E12" s="460">
        <v>0</v>
      </c>
      <c r="F12" s="460">
        <v>0</v>
      </c>
      <c r="G12" s="461"/>
      <c r="H12" s="791"/>
      <c r="J12" s="463"/>
    </row>
    <row r="13" spans="1:10" s="462" customFormat="1" ht="32.25" customHeight="1" x14ac:dyDescent="0.2">
      <c r="A13" s="790" t="s">
        <v>567</v>
      </c>
      <c r="B13" s="792">
        <f>SUM(B9:B12)</f>
        <v>57.5</v>
      </c>
      <c r="C13" s="792">
        <f t="shared" ref="C13:F13" si="0">SUM(C9:C12)</f>
        <v>44</v>
      </c>
      <c r="D13" s="792">
        <f t="shared" si="0"/>
        <v>101.5</v>
      </c>
      <c r="E13" s="792">
        <f t="shared" si="0"/>
        <v>4</v>
      </c>
      <c r="F13" s="792">
        <f t="shared" si="0"/>
        <v>0</v>
      </c>
      <c r="G13" s="461"/>
      <c r="H13" s="791"/>
      <c r="I13" s="464"/>
      <c r="J13" s="463"/>
    </row>
    <row r="14" spans="1:10" s="71" customFormat="1" ht="32.25" customHeight="1" x14ac:dyDescent="0.3">
      <c r="A14" s="162"/>
      <c r="B14" s="461"/>
      <c r="C14" s="162"/>
      <c r="D14" s="163"/>
      <c r="E14" s="163"/>
      <c r="F14" s="163"/>
      <c r="G14" s="163"/>
      <c r="H14" s="788"/>
      <c r="I14" s="73"/>
      <c r="J14" s="72"/>
    </row>
    <row r="15" spans="1:10" s="71" customFormat="1" ht="32.25" customHeight="1" x14ac:dyDescent="0.3">
      <c r="A15" s="162"/>
      <c r="B15" s="461"/>
      <c r="C15" s="162"/>
      <c r="D15" s="163"/>
      <c r="E15" s="163"/>
      <c r="F15" s="163"/>
      <c r="G15" s="163"/>
      <c r="H15" s="788"/>
      <c r="I15" s="73"/>
      <c r="J15" s="72"/>
    </row>
    <row r="16" spans="1:10" s="71" customFormat="1" ht="46.5" customHeight="1" x14ac:dyDescent="0.3">
      <c r="A16" s="161" t="s">
        <v>568</v>
      </c>
      <c r="B16" s="677" t="s">
        <v>569</v>
      </c>
      <c r="C16" s="677" t="s">
        <v>570</v>
      </c>
      <c r="D16" s="677" t="s">
        <v>563</v>
      </c>
      <c r="E16" s="669" t="s">
        <v>937</v>
      </c>
      <c r="F16" s="677" t="s">
        <v>938</v>
      </c>
      <c r="G16" s="163"/>
      <c r="H16" s="788"/>
      <c r="I16" s="73"/>
      <c r="J16" s="72"/>
    </row>
    <row r="17" spans="1:10" s="462" customFormat="1" ht="49.5" customHeight="1" x14ac:dyDescent="0.2">
      <c r="A17" s="793" t="s">
        <v>568</v>
      </c>
      <c r="B17" s="671">
        <v>4.5</v>
      </c>
      <c r="C17" s="793">
        <v>0.5</v>
      </c>
      <c r="D17" s="460">
        <f>B17+C17</f>
        <v>5</v>
      </c>
      <c r="E17" s="460">
        <v>0</v>
      </c>
      <c r="F17" s="460">
        <v>0</v>
      </c>
      <c r="G17" s="461"/>
      <c r="H17" s="791"/>
      <c r="I17" s="464"/>
      <c r="J17" s="463"/>
    </row>
    <row r="18" spans="1:10" s="71" customFormat="1" ht="32.25" customHeight="1" x14ac:dyDescent="0.3">
      <c r="A18" s="162"/>
      <c r="B18" s="461"/>
      <c r="C18" s="162"/>
      <c r="D18" s="163"/>
      <c r="E18" s="163"/>
      <c r="F18" s="163"/>
      <c r="G18" s="163"/>
      <c r="H18" s="788"/>
      <c r="I18" s="73"/>
    </row>
    <row r="19" spans="1:10" s="71" customFormat="1" ht="63.75" customHeight="1" x14ac:dyDescent="0.3">
      <c r="A19" s="161" t="s">
        <v>571</v>
      </c>
      <c r="B19" s="677" t="s">
        <v>935</v>
      </c>
      <c r="C19" s="677" t="s">
        <v>932</v>
      </c>
      <c r="D19" s="677" t="s">
        <v>563</v>
      </c>
      <c r="E19" s="669" t="s">
        <v>937</v>
      </c>
      <c r="F19" s="677" t="s">
        <v>938</v>
      </c>
      <c r="G19" s="163"/>
      <c r="H19" s="794"/>
    </row>
    <row r="20" spans="1:10" s="462" customFormat="1" ht="32.25" customHeight="1" x14ac:dyDescent="0.2">
      <c r="A20" s="682" t="s">
        <v>572</v>
      </c>
      <c r="B20" s="2159">
        <v>27</v>
      </c>
      <c r="C20" s="2160">
        <v>9</v>
      </c>
      <c r="D20" s="2159">
        <f>SUM(B20:C20)</f>
        <v>36</v>
      </c>
      <c r="E20" s="2159">
        <v>0</v>
      </c>
      <c r="F20" s="2159">
        <v>0</v>
      </c>
      <c r="G20" s="461"/>
      <c r="H20" s="795"/>
    </row>
    <row r="21" spans="1:10" s="462" customFormat="1" ht="48" customHeight="1" x14ac:dyDescent="0.2">
      <c r="A21" s="683" t="s">
        <v>573</v>
      </c>
      <c r="B21" s="2159">
        <v>6</v>
      </c>
      <c r="C21" s="2160">
        <v>0</v>
      </c>
      <c r="D21" s="2159">
        <f t="shared" ref="D21:D25" si="1">SUM(B21:C21)</f>
        <v>6</v>
      </c>
      <c r="E21" s="2159">
        <v>0</v>
      </c>
      <c r="F21" s="2159">
        <v>0</v>
      </c>
      <c r="G21" s="461"/>
      <c r="H21" s="796"/>
    </row>
    <row r="22" spans="1:10" s="462" customFormat="1" ht="48" customHeight="1" x14ac:dyDescent="0.2">
      <c r="A22" s="683" t="s">
        <v>929</v>
      </c>
      <c r="B22" s="2159">
        <v>1</v>
      </c>
      <c r="C22" s="2160">
        <v>0</v>
      </c>
      <c r="D22" s="2159">
        <f t="shared" ref="D22" si="2">SUM(B22:C22)</f>
        <v>1</v>
      </c>
      <c r="E22" s="2159">
        <v>0</v>
      </c>
      <c r="F22" s="2159">
        <v>0</v>
      </c>
      <c r="G22" s="461"/>
      <c r="H22" s="796"/>
    </row>
    <row r="23" spans="1:10" s="462" customFormat="1" ht="32.25" customHeight="1" x14ac:dyDescent="0.2">
      <c r="A23" s="684" t="s">
        <v>930</v>
      </c>
      <c r="B23" s="2159">
        <v>0</v>
      </c>
      <c r="C23" s="2160">
        <v>0</v>
      </c>
      <c r="D23" s="2159">
        <f t="shared" si="1"/>
        <v>0</v>
      </c>
      <c r="E23" s="2159">
        <v>2</v>
      </c>
      <c r="F23" s="2159">
        <v>0</v>
      </c>
      <c r="G23" s="461"/>
      <c r="H23" s="791"/>
      <c r="I23" s="464"/>
      <c r="J23" s="463"/>
    </row>
    <row r="24" spans="1:10" s="462" customFormat="1" ht="32.25" customHeight="1" x14ac:dyDescent="0.2">
      <c r="A24" s="685" t="s">
        <v>931</v>
      </c>
      <c r="B24" s="2159">
        <f>B20+B23</f>
        <v>27</v>
      </c>
      <c r="C24" s="2160">
        <f t="shared" ref="C24:F24" si="3">C20+C23</f>
        <v>9</v>
      </c>
      <c r="D24" s="2159">
        <f t="shared" si="3"/>
        <v>36</v>
      </c>
      <c r="E24" s="2159">
        <f t="shared" si="3"/>
        <v>2</v>
      </c>
      <c r="F24" s="2159">
        <f t="shared" si="3"/>
        <v>0</v>
      </c>
      <c r="G24" s="461"/>
      <c r="H24" s="791"/>
      <c r="I24" s="464"/>
      <c r="J24" s="463"/>
    </row>
    <row r="25" spans="1:10" s="462" customFormat="1" ht="32.25" customHeight="1" x14ac:dyDescent="0.2">
      <c r="A25" s="671" t="s">
        <v>933</v>
      </c>
      <c r="B25" s="2159">
        <v>10</v>
      </c>
      <c r="C25" s="2160">
        <v>0</v>
      </c>
      <c r="D25" s="2159">
        <f t="shared" si="1"/>
        <v>10</v>
      </c>
      <c r="E25" s="2159">
        <v>0</v>
      </c>
      <c r="F25" s="2159">
        <v>0</v>
      </c>
      <c r="G25" s="461"/>
      <c r="H25" s="791"/>
    </row>
    <row r="26" spans="1:10" s="462" customFormat="1" ht="32.25" customHeight="1" x14ac:dyDescent="0.2">
      <c r="A26" s="161" t="s">
        <v>934</v>
      </c>
      <c r="B26" s="2161">
        <f>SUM(B24:B25)</f>
        <v>37</v>
      </c>
      <c r="C26" s="2161">
        <f t="shared" ref="C26:F26" si="4">SUM(C24:C25)</f>
        <v>9</v>
      </c>
      <c r="D26" s="2161">
        <f t="shared" si="4"/>
        <v>46</v>
      </c>
      <c r="E26" s="2161">
        <f t="shared" si="4"/>
        <v>2</v>
      </c>
      <c r="F26" s="2161">
        <f t="shared" si="4"/>
        <v>0</v>
      </c>
      <c r="G26" s="461"/>
      <c r="H26" s="791"/>
    </row>
    <row r="27" spans="1:10" s="71" customFormat="1" ht="32.25" customHeight="1" x14ac:dyDescent="0.3">
      <c r="A27" s="163"/>
      <c r="B27" s="461"/>
      <c r="C27" s="162"/>
      <c r="D27" s="163"/>
      <c r="E27" s="163"/>
      <c r="F27" s="163"/>
      <c r="G27" s="163"/>
      <c r="H27" s="788"/>
    </row>
    <row r="28" spans="1:10" s="680" customFormat="1" ht="32.25" customHeight="1" x14ac:dyDescent="0.2">
      <c r="A28" s="681" t="s">
        <v>574</v>
      </c>
      <c r="B28" s="678">
        <f>B13+B17+B26</f>
        <v>99</v>
      </c>
      <c r="C28" s="678">
        <f t="shared" ref="C28:F28" si="5">C13+C17+C26</f>
        <v>53.5</v>
      </c>
      <c r="D28" s="678">
        <f t="shared" si="5"/>
        <v>152.5</v>
      </c>
      <c r="E28" s="678">
        <f t="shared" si="5"/>
        <v>6</v>
      </c>
      <c r="F28" s="678">
        <f t="shared" si="5"/>
        <v>0</v>
      </c>
      <c r="G28" s="679"/>
      <c r="H28" s="797"/>
    </row>
    <row r="29" spans="1:10" s="71" customFormat="1" ht="32.25" customHeight="1" x14ac:dyDescent="0.3">
      <c r="A29" s="164"/>
      <c r="B29" s="2529"/>
      <c r="C29" s="2529"/>
      <c r="D29" s="2529"/>
      <c r="E29" s="167"/>
      <c r="F29" s="2529"/>
      <c r="G29" s="2529"/>
      <c r="H29" s="2529"/>
    </row>
    <row r="30" spans="1:10" s="71" customFormat="1" ht="32.25" customHeight="1" x14ac:dyDescent="0.3">
      <c r="A30" s="165"/>
      <c r="B30" s="2529"/>
      <c r="C30" s="2529"/>
      <c r="D30" s="2529"/>
      <c r="E30" s="2529"/>
      <c r="F30" s="164"/>
      <c r="G30" s="164"/>
      <c r="H30" s="164"/>
    </row>
    <row r="31" spans="1:10" s="71" customFormat="1" ht="60.75" x14ac:dyDescent="0.3">
      <c r="A31" s="989"/>
      <c r="B31" s="677" t="s">
        <v>936</v>
      </c>
      <c r="C31" s="677" t="s">
        <v>575</v>
      </c>
      <c r="D31" s="677" t="s">
        <v>576</v>
      </c>
      <c r="E31" s="669" t="s">
        <v>977</v>
      </c>
      <c r="F31" s="2385" t="s">
        <v>978</v>
      </c>
      <c r="G31" s="2389"/>
      <c r="H31" s="164"/>
    </row>
    <row r="32" spans="1:10" s="462" customFormat="1" ht="32.25" customHeight="1" x14ac:dyDescent="0.2">
      <c r="A32" s="990" t="s">
        <v>577</v>
      </c>
      <c r="B32" s="2159">
        <v>49.5</v>
      </c>
      <c r="C32" s="2160">
        <f>26.75+1</f>
        <v>27.75</v>
      </c>
      <c r="D32" s="2159">
        <f>B32+C32</f>
        <v>77.25</v>
      </c>
      <c r="E32" s="2159">
        <v>2.5</v>
      </c>
      <c r="F32" s="2386">
        <v>0</v>
      </c>
      <c r="G32" s="2390"/>
      <c r="H32" s="672"/>
      <c r="J32" s="463"/>
    </row>
    <row r="33" spans="1:10" s="462" customFormat="1" ht="32.25" customHeight="1" x14ac:dyDescent="0.2">
      <c r="A33" s="991" t="s">
        <v>579</v>
      </c>
      <c r="B33" s="460">
        <v>0</v>
      </c>
      <c r="C33" s="789">
        <v>0</v>
      </c>
      <c r="D33" s="460">
        <f>B33+C33</f>
        <v>0</v>
      </c>
      <c r="E33" s="460">
        <v>0</v>
      </c>
      <c r="F33" s="2387" t="s">
        <v>578</v>
      </c>
      <c r="G33" s="2390"/>
      <c r="H33" s="672"/>
      <c r="J33" s="463"/>
    </row>
    <row r="34" spans="1:10" s="462" customFormat="1" ht="32.25" customHeight="1" x14ac:dyDescent="0.2">
      <c r="A34" s="992" t="s">
        <v>580</v>
      </c>
      <c r="B34" s="993">
        <f>B28+B32+B18</f>
        <v>148.5</v>
      </c>
      <c r="C34" s="994">
        <f>C28+C32+C18+C33</f>
        <v>81.25</v>
      </c>
      <c r="D34" s="994">
        <f>D28+D32+D18+D33</f>
        <v>229.75</v>
      </c>
      <c r="E34" s="994">
        <f>E28+E32+E18</f>
        <v>8.5</v>
      </c>
      <c r="F34" s="2388">
        <f>F28+F32+F18</f>
        <v>0</v>
      </c>
      <c r="G34" s="2391"/>
      <c r="H34" s="672"/>
    </row>
    <row r="35" spans="1:10" s="71" customFormat="1" ht="32.25" customHeight="1" x14ac:dyDescent="0.3">
      <c r="A35" s="166"/>
      <c r="B35" s="672"/>
      <c r="C35" s="164"/>
      <c r="D35" s="167"/>
      <c r="E35" s="164"/>
      <c r="F35" s="164"/>
      <c r="G35" s="164"/>
      <c r="H35" s="164"/>
    </row>
    <row r="36" spans="1:10" s="68" customFormat="1" x14ac:dyDescent="0.2">
      <c r="A36" s="155"/>
      <c r="B36" s="673"/>
      <c r="C36" s="155"/>
      <c r="D36" s="155"/>
      <c r="E36" s="155"/>
      <c r="F36" s="155"/>
      <c r="G36" s="155"/>
      <c r="H36" s="155"/>
    </row>
    <row r="37" spans="1:10" s="68" customFormat="1" x14ac:dyDescent="0.2">
      <c r="A37" s="155"/>
      <c r="B37" s="673"/>
      <c r="C37" s="155"/>
      <c r="D37" s="155"/>
      <c r="E37" s="155"/>
      <c r="F37" s="155"/>
      <c r="G37" s="155"/>
      <c r="H37" s="155"/>
    </row>
    <row r="38" spans="1:10" s="68" customFormat="1" x14ac:dyDescent="0.2">
      <c r="A38" s="155"/>
      <c r="B38" s="673"/>
      <c r="C38" s="155"/>
      <c r="D38" s="155"/>
      <c r="E38" s="155"/>
      <c r="F38" s="155"/>
      <c r="G38" s="155"/>
      <c r="H38" s="155"/>
    </row>
    <row r="39" spans="1:10" s="68" customFormat="1" x14ac:dyDescent="0.2">
      <c r="A39" s="155"/>
      <c r="B39" s="673"/>
      <c r="C39" s="155"/>
      <c r="D39" s="155"/>
      <c r="E39" s="155"/>
      <c r="F39" s="155"/>
      <c r="G39" s="155"/>
      <c r="H39" s="155"/>
    </row>
    <row r="40" spans="1:10" s="68" customFormat="1" x14ac:dyDescent="0.2">
      <c r="A40" s="155"/>
      <c r="B40" s="673"/>
      <c r="C40" s="155"/>
      <c r="D40" s="155"/>
      <c r="E40" s="155"/>
      <c r="F40" s="155"/>
      <c r="G40" s="155"/>
      <c r="H40" s="155"/>
    </row>
    <row r="41" spans="1:10" s="68" customFormat="1" x14ac:dyDescent="0.2">
      <c r="A41" s="155"/>
      <c r="B41" s="673"/>
      <c r="C41" s="155"/>
      <c r="D41" s="155"/>
      <c r="E41" s="155"/>
      <c r="F41" s="155"/>
      <c r="G41" s="155"/>
      <c r="H41" s="155"/>
    </row>
    <row r="42" spans="1:10" s="68" customFormat="1" x14ac:dyDescent="0.2">
      <c r="A42" s="155"/>
      <c r="B42" s="673"/>
      <c r="C42" s="155"/>
      <c r="D42" s="155"/>
      <c r="E42" s="155"/>
      <c r="F42" s="155"/>
      <c r="G42" s="155"/>
      <c r="H42" s="155"/>
    </row>
    <row r="43" spans="1:10" s="68" customFormat="1" x14ac:dyDescent="0.2">
      <c r="A43" s="155"/>
      <c r="B43" s="673"/>
      <c r="C43" s="155"/>
      <c r="D43" s="155"/>
      <c r="E43" s="155"/>
      <c r="F43" s="155"/>
      <c r="G43" s="155"/>
      <c r="H43" s="155"/>
    </row>
    <row r="44" spans="1:10" s="68" customFormat="1" x14ac:dyDescent="0.2">
      <c r="A44" s="155"/>
      <c r="B44" s="673"/>
      <c r="C44" s="155"/>
      <c r="D44" s="155"/>
      <c r="E44" s="155"/>
      <c r="F44" s="155"/>
      <c r="G44" s="155"/>
      <c r="H44" s="155"/>
    </row>
    <row r="45" spans="1:10" s="68" customFormat="1" x14ac:dyDescent="0.2">
      <c r="A45" s="155"/>
      <c r="B45" s="673"/>
      <c r="C45" s="155"/>
      <c r="D45" s="155"/>
      <c r="E45" s="155"/>
      <c r="F45" s="155"/>
      <c r="G45" s="155"/>
      <c r="H45" s="155"/>
    </row>
    <row r="46" spans="1:10" s="68" customFormat="1" x14ac:dyDescent="0.2">
      <c r="A46" s="155"/>
      <c r="B46" s="673"/>
      <c r="C46" s="155"/>
      <c r="D46" s="155"/>
      <c r="E46" s="155"/>
      <c r="F46" s="155"/>
      <c r="G46" s="155"/>
      <c r="H46" s="155"/>
    </row>
    <row r="47" spans="1:10" s="68" customFormat="1" x14ac:dyDescent="0.2">
      <c r="A47" s="155"/>
      <c r="B47" s="673"/>
      <c r="C47" s="155"/>
      <c r="D47" s="155"/>
      <c r="E47" s="155"/>
      <c r="F47" s="155"/>
      <c r="G47" s="155"/>
      <c r="H47" s="155"/>
    </row>
    <row r="48" spans="1:10" s="68" customFormat="1" x14ac:dyDescent="0.2">
      <c r="A48" s="155"/>
      <c r="B48" s="673"/>
      <c r="C48" s="155"/>
      <c r="D48" s="155"/>
      <c r="E48" s="155"/>
      <c r="F48" s="155"/>
      <c r="G48" s="155"/>
      <c r="H48" s="155"/>
    </row>
    <row r="49" spans="1:8" s="68" customFormat="1" x14ac:dyDescent="0.2">
      <c r="A49" s="155"/>
      <c r="B49" s="673"/>
      <c r="C49" s="155"/>
      <c r="D49" s="155"/>
      <c r="E49" s="155"/>
      <c r="F49" s="155"/>
      <c r="G49" s="155"/>
      <c r="H49" s="155"/>
    </row>
    <row r="50" spans="1:8" s="68" customFormat="1" x14ac:dyDescent="0.2">
      <c r="A50" s="155"/>
      <c r="B50" s="673"/>
      <c r="C50" s="155"/>
      <c r="D50" s="155"/>
      <c r="E50" s="155"/>
      <c r="F50" s="155"/>
      <c r="G50" s="155"/>
      <c r="H50" s="155"/>
    </row>
    <row r="51" spans="1:8" s="68" customFormat="1" x14ac:dyDescent="0.2">
      <c r="A51" s="155"/>
      <c r="B51" s="673"/>
      <c r="C51" s="155"/>
      <c r="D51" s="155"/>
      <c r="E51" s="155"/>
      <c r="F51" s="155"/>
      <c r="G51" s="155"/>
      <c r="H51" s="155"/>
    </row>
    <row r="52" spans="1:8" s="68" customFormat="1" x14ac:dyDescent="0.2">
      <c r="A52" s="155"/>
      <c r="B52" s="673"/>
      <c r="C52" s="155"/>
      <c r="D52" s="155"/>
      <c r="E52" s="155"/>
      <c r="F52" s="155"/>
      <c r="G52" s="155"/>
      <c r="H52" s="155"/>
    </row>
    <row r="53" spans="1:8" s="68" customFormat="1" x14ac:dyDescent="0.2">
      <c r="A53" s="155"/>
      <c r="B53" s="673"/>
      <c r="C53" s="155"/>
      <c r="D53" s="155"/>
      <c r="E53" s="155"/>
      <c r="F53" s="155"/>
      <c r="G53" s="155"/>
      <c r="H53" s="155"/>
    </row>
    <row r="54" spans="1:8" s="68" customFormat="1" x14ac:dyDescent="0.2">
      <c r="A54" s="155"/>
      <c r="B54" s="673"/>
      <c r="C54" s="155"/>
      <c r="D54" s="155"/>
      <c r="E54" s="155"/>
      <c r="F54" s="155"/>
      <c r="G54" s="155"/>
      <c r="H54" s="155"/>
    </row>
    <row r="55" spans="1:8" s="68" customFormat="1" x14ac:dyDescent="0.2">
      <c r="A55" s="155"/>
      <c r="B55" s="673"/>
      <c r="C55" s="155"/>
      <c r="D55" s="155"/>
      <c r="E55" s="155"/>
      <c r="F55" s="155"/>
      <c r="G55" s="155"/>
      <c r="H55" s="155"/>
    </row>
    <row r="56" spans="1:8" s="68" customFormat="1" x14ac:dyDescent="0.2">
      <c r="A56" s="155"/>
      <c r="B56" s="673"/>
      <c r="C56" s="155"/>
      <c r="D56" s="155"/>
      <c r="E56" s="155"/>
      <c r="F56" s="155"/>
      <c r="G56" s="155"/>
      <c r="H56" s="155"/>
    </row>
    <row r="57" spans="1:8" s="68" customFormat="1" x14ac:dyDescent="0.2">
      <c r="A57" s="155"/>
      <c r="B57" s="673"/>
      <c r="C57" s="155"/>
      <c r="D57" s="155"/>
      <c r="E57" s="155"/>
      <c r="F57" s="155"/>
      <c r="G57" s="155"/>
      <c r="H57" s="155"/>
    </row>
    <row r="58" spans="1:8" s="68" customFormat="1" x14ac:dyDescent="0.2">
      <c r="A58" s="155"/>
      <c r="B58" s="673"/>
      <c r="C58" s="155"/>
      <c r="D58" s="155"/>
      <c r="E58" s="155"/>
      <c r="F58" s="155"/>
      <c r="G58" s="155"/>
      <c r="H58" s="155"/>
    </row>
    <row r="59" spans="1:8" s="68" customFormat="1" x14ac:dyDescent="0.2">
      <c r="A59" s="155"/>
      <c r="B59" s="673"/>
      <c r="C59" s="155"/>
      <c r="D59" s="155"/>
      <c r="E59" s="155"/>
      <c r="F59" s="155"/>
      <c r="G59" s="155"/>
      <c r="H59" s="155"/>
    </row>
    <row r="60" spans="1:8" s="68" customFormat="1" x14ac:dyDescent="0.2">
      <c r="A60" s="155"/>
      <c r="B60" s="673"/>
      <c r="C60" s="155"/>
      <c r="D60" s="155"/>
      <c r="E60" s="155"/>
      <c r="F60" s="155"/>
      <c r="G60" s="155"/>
      <c r="H60" s="155"/>
    </row>
    <row r="61" spans="1:8" s="68" customFormat="1" x14ac:dyDescent="0.2">
      <c r="A61" s="155"/>
      <c r="B61" s="673"/>
      <c r="C61" s="155"/>
      <c r="D61" s="155"/>
      <c r="E61" s="155"/>
      <c r="F61" s="155"/>
      <c r="G61" s="155"/>
      <c r="H61" s="155"/>
    </row>
    <row r="62" spans="1:8" s="68" customFormat="1" x14ac:dyDescent="0.2">
      <c r="A62" s="155"/>
      <c r="B62" s="673"/>
      <c r="C62" s="155"/>
      <c r="D62" s="155"/>
      <c r="E62" s="155"/>
      <c r="F62" s="155"/>
      <c r="G62" s="155"/>
      <c r="H62" s="155"/>
    </row>
    <row r="63" spans="1:8" s="68" customFormat="1" x14ac:dyDescent="0.2">
      <c r="A63" s="155"/>
      <c r="B63" s="673"/>
      <c r="C63" s="155"/>
      <c r="D63" s="155"/>
      <c r="E63" s="155"/>
      <c r="F63" s="155"/>
      <c r="G63" s="155"/>
      <c r="H63" s="155"/>
    </row>
    <row r="64" spans="1:8" s="68" customFormat="1" x14ac:dyDescent="0.2">
      <c r="A64" s="155"/>
      <c r="B64" s="673"/>
      <c r="C64" s="155"/>
      <c r="D64" s="155"/>
      <c r="E64" s="155"/>
      <c r="F64" s="155"/>
      <c r="G64" s="155"/>
      <c r="H64" s="155"/>
    </row>
    <row r="65" spans="1:8" s="68" customFormat="1" x14ac:dyDescent="0.2">
      <c r="A65" s="155"/>
      <c r="B65" s="673"/>
      <c r="C65" s="155"/>
      <c r="D65" s="155"/>
      <c r="E65" s="155"/>
      <c r="F65" s="155"/>
      <c r="G65" s="155"/>
      <c r="H65" s="155"/>
    </row>
    <row r="66" spans="1:8" s="68" customFormat="1" x14ac:dyDescent="0.2">
      <c r="A66" s="155"/>
      <c r="B66" s="673"/>
      <c r="C66" s="155"/>
      <c r="D66" s="155"/>
      <c r="E66" s="155"/>
      <c r="F66" s="155"/>
      <c r="G66" s="155"/>
      <c r="H66" s="155"/>
    </row>
    <row r="67" spans="1:8" s="68" customFormat="1" x14ac:dyDescent="0.2">
      <c r="A67" s="155"/>
      <c r="B67" s="673"/>
      <c r="C67" s="155"/>
      <c r="D67" s="155"/>
      <c r="E67" s="155"/>
      <c r="F67" s="155"/>
      <c r="G67" s="155"/>
      <c r="H67" s="155"/>
    </row>
    <row r="68" spans="1:8" s="68" customFormat="1" x14ac:dyDescent="0.2">
      <c r="A68" s="155"/>
      <c r="B68" s="673"/>
      <c r="C68" s="155"/>
      <c r="D68" s="155"/>
      <c r="E68" s="155"/>
      <c r="F68" s="155"/>
      <c r="G68" s="155"/>
      <c r="H68" s="155"/>
    </row>
    <row r="69" spans="1:8" s="68" customFormat="1" x14ac:dyDescent="0.2">
      <c r="A69" s="155"/>
      <c r="B69" s="673"/>
      <c r="C69" s="155"/>
      <c r="D69" s="155"/>
      <c r="E69" s="155"/>
      <c r="F69" s="155"/>
      <c r="G69" s="155"/>
      <c r="H69" s="155"/>
    </row>
    <row r="70" spans="1:8" s="68" customFormat="1" x14ac:dyDescent="0.2">
      <c r="A70" s="155"/>
      <c r="B70" s="673"/>
      <c r="C70" s="155"/>
      <c r="D70" s="155"/>
      <c r="E70" s="155"/>
      <c r="F70" s="155"/>
      <c r="G70" s="155"/>
      <c r="H70" s="155"/>
    </row>
    <row r="71" spans="1:8" s="68" customFormat="1" x14ac:dyDescent="0.2">
      <c r="A71" s="155"/>
      <c r="B71" s="673"/>
      <c r="C71" s="155"/>
      <c r="D71" s="155"/>
      <c r="E71" s="155"/>
      <c r="F71" s="155"/>
      <c r="G71" s="155"/>
      <c r="H71" s="155"/>
    </row>
    <row r="72" spans="1:8" s="68" customFormat="1" x14ac:dyDescent="0.2">
      <c r="B72" s="674"/>
    </row>
    <row r="73" spans="1:8" s="68" customFormat="1" x14ac:dyDescent="0.2">
      <c r="B73" s="674"/>
    </row>
    <row r="74" spans="1:8" s="68" customFormat="1" x14ac:dyDescent="0.2">
      <c r="B74" s="674"/>
    </row>
    <row r="75" spans="1:8" s="68" customFormat="1" x14ac:dyDescent="0.2">
      <c r="B75" s="674"/>
    </row>
    <row r="76" spans="1:8" s="68" customFormat="1" x14ac:dyDescent="0.2">
      <c r="B76" s="674"/>
    </row>
    <row r="77" spans="1:8" s="68" customFormat="1" x14ac:dyDescent="0.2">
      <c r="B77" s="674"/>
    </row>
    <row r="78" spans="1:8" s="68" customFormat="1" x14ac:dyDescent="0.2">
      <c r="B78" s="674"/>
    </row>
    <row r="79" spans="1:8" s="68" customFormat="1" x14ac:dyDescent="0.2">
      <c r="B79" s="674"/>
    </row>
    <row r="80" spans="1:8" s="68" customFormat="1" x14ac:dyDescent="0.2">
      <c r="B80" s="674"/>
    </row>
    <row r="81" spans="1:5" s="68" customFormat="1" x14ac:dyDescent="0.2">
      <c r="B81" s="674"/>
    </row>
    <row r="82" spans="1:5" s="68" customFormat="1" x14ac:dyDescent="0.2">
      <c r="B82" s="674"/>
    </row>
    <row r="83" spans="1:5" x14ac:dyDescent="0.2">
      <c r="A83" s="68"/>
      <c r="B83" s="674"/>
      <c r="C83" s="68"/>
      <c r="D83" s="68"/>
      <c r="E83" s="68"/>
    </row>
    <row r="84" spans="1:5" x14ac:dyDescent="0.2">
      <c r="A84" s="68"/>
      <c r="B84" s="674"/>
      <c r="C84" s="68"/>
      <c r="D84" s="68"/>
      <c r="E84" s="68"/>
    </row>
    <row r="85" spans="1:5" x14ac:dyDescent="0.2">
      <c r="A85" s="68"/>
      <c r="B85" s="674"/>
      <c r="C85" s="68"/>
      <c r="D85" s="68"/>
      <c r="E85" s="68"/>
    </row>
    <row r="86" spans="1:5" x14ac:dyDescent="0.2">
      <c r="A86" s="68"/>
      <c r="B86" s="674"/>
      <c r="C86" s="68"/>
      <c r="D86" s="68"/>
      <c r="E86" s="68"/>
    </row>
    <row r="87" spans="1:5" x14ac:dyDescent="0.2">
      <c r="A87" s="68"/>
      <c r="B87" s="674"/>
      <c r="C87" s="68"/>
      <c r="D87" s="68"/>
      <c r="E87" s="68"/>
    </row>
    <row r="88" spans="1:5" x14ac:dyDescent="0.2">
      <c r="A88" s="68"/>
      <c r="B88" s="674"/>
      <c r="C88" s="68"/>
      <c r="D88" s="68"/>
      <c r="E88" s="68"/>
    </row>
    <row r="89" spans="1:5" x14ac:dyDescent="0.2">
      <c r="A89" s="68"/>
      <c r="B89" s="674"/>
      <c r="C89" s="68"/>
      <c r="D89" s="68"/>
      <c r="E89" s="68"/>
    </row>
    <row r="90" spans="1:5" x14ac:dyDescent="0.2">
      <c r="A90" s="68"/>
      <c r="B90" s="674"/>
      <c r="C90" s="68"/>
      <c r="D90" s="68"/>
      <c r="E90" s="68"/>
    </row>
    <row r="91" spans="1:5" x14ac:dyDescent="0.2">
      <c r="A91" s="68"/>
      <c r="B91" s="674"/>
      <c r="C91" s="68"/>
      <c r="D91" s="68"/>
      <c r="E91" s="68"/>
    </row>
    <row r="92" spans="1:5" x14ac:dyDescent="0.2">
      <c r="A92" s="68"/>
      <c r="B92" s="674"/>
      <c r="C92" s="68"/>
      <c r="D92" s="68"/>
      <c r="E92" s="68"/>
    </row>
    <row r="93" spans="1:5" x14ac:dyDescent="0.2">
      <c r="A93" s="68"/>
      <c r="B93" s="674"/>
      <c r="C93" s="68"/>
      <c r="D93" s="68"/>
      <c r="E93" s="68"/>
    </row>
    <row r="94" spans="1:5" x14ac:dyDescent="0.2">
      <c r="A94" s="68"/>
      <c r="B94" s="674"/>
      <c r="C94" s="68"/>
      <c r="D94" s="68"/>
      <c r="E94" s="68"/>
    </row>
    <row r="95" spans="1:5" x14ac:dyDescent="0.2">
      <c r="A95" s="68"/>
      <c r="B95" s="674"/>
      <c r="C95" s="68"/>
      <c r="D95" s="68"/>
      <c r="E95" s="68"/>
    </row>
    <row r="96" spans="1:5" x14ac:dyDescent="0.2">
      <c r="A96" s="68"/>
      <c r="B96" s="674"/>
      <c r="C96" s="68"/>
      <c r="D96" s="68"/>
      <c r="E96" s="68"/>
    </row>
    <row r="97" spans="1:5" x14ac:dyDescent="0.2">
      <c r="A97" s="68"/>
      <c r="B97" s="674"/>
      <c r="C97" s="68"/>
      <c r="D97" s="68"/>
      <c r="E97" s="68"/>
    </row>
    <row r="98" spans="1:5" x14ac:dyDescent="0.2">
      <c r="A98" s="68"/>
      <c r="B98" s="674"/>
      <c r="C98" s="68"/>
      <c r="D98" s="68"/>
      <c r="E98" s="68"/>
    </row>
    <row r="99" spans="1:5" x14ac:dyDescent="0.2">
      <c r="A99" s="68"/>
      <c r="B99" s="674"/>
      <c r="C99" s="68"/>
      <c r="D99" s="68"/>
      <c r="E99" s="68"/>
    </row>
    <row r="100" spans="1:5" x14ac:dyDescent="0.2">
      <c r="A100" s="68"/>
      <c r="B100" s="674"/>
      <c r="C100" s="68"/>
      <c r="D100" s="68"/>
      <c r="E100" s="68"/>
    </row>
    <row r="101" spans="1:5" x14ac:dyDescent="0.2">
      <c r="A101" s="68"/>
      <c r="B101" s="674"/>
      <c r="C101" s="68"/>
      <c r="D101" s="68"/>
      <c r="E101" s="68"/>
    </row>
    <row r="102" spans="1:5" x14ac:dyDescent="0.2">
      <c r="A102" s="68"/>
      <c r="B102" s="674"/>
      <c r="C102" s="68"/>
      <c r="D102" s="68"/>
      <c r="E102" s="68"/>
    </row>
    <row r="103" spans="1:5" x14ac:dyDescent="0.2">
      <c r="A103" s="68"/>
      <c r="B103" s="674"/>
      <c r="C103" s="68"/>
      <c r="D103" s="68"/>
      <c r="E103" s="68"/>
    </row>
    <row r="104" spans="1:5" x14ac:dyDescent="0.2">
      <c r="A104" s="68"/>
      <c r="B104" s="674"/>
      <c r="C104" s="68"/>
      <c r="D104" s="68"/>
      <c r="E104" s="68"/>
    </row>
    <row r="105" spans="1:5" x14ac:dyDescent="0.2">
      <c r="A105" s="68"/>
      <c r="B105" s="674"/>
      <c r="C105" s="68"/>
      <c r="D105" s="68"/>
      <c r="E105" s="68"/>
    </row>
    <row r="106" spans="1:5" x14ac:dyDescent="0.2">
      <c r="A106" s="68"/>
      <c r="B106" s="674"/>
      <c r="C106" s="68"/>
      <c r="D106" s="68"/>
      <c r="E106" s="68"/>
    </row>
    <row r="107" spans="1:5" x14ac:dyDescent="0.2">
      <c r="A107" s="68"/>
      <c r="B107" s="674"/>
      <c r="C107" s="68"/>
      <c r="D107" s="68"/>
      <c r="E107" s="68"/>
    </row>
    <row r="108" spans="1:5" x14ac:dyDescent="0.2">
      <c r="A108" s="68"/>
      <c r="B108" s="674"/>
      <c r="C108" s="68"/>
      <c r="D108" s="68"/>
      <c r="E108" s="68"/>
    </row>
    <row r="109" spans="1:5" x14ac:dyDescent="0.2">
      <c r="A109" s="68"/>
      <c r="B109" s="674"/>
      <c r="C109" s="68"/>
      <c r="D109" s="68"/>
      <c r="E109" s="68"/>
    </row>
    <row r="110" spans="1:5" x14ac:dyDescent="0.2">
      <c r="A110" s="68"/>
      <c r="B110" s="674"/>
      <c r="C110" s="68"/>
      <c r="D110" s="68"/>
      <c r="E110" s="68"/>
    </row>
    <row r="111" spans="1:5" x14ac:dyDescent="0.2">
      <c r="A111" s="68"/>
      <c r="B111" s="674"/>
      <c r="C111" s="68"/>
      <c r="D111" s="68"/>
      <c r="E111" s="68"/>
    </row>
    <row r="112" spans="1:5" x14ac:dyDescent="0.2">
      <c r="A112" s="68"/>
      <c r="B112" s="674"/>
      <c r="C112" s="68"/>
      <c r="D112" s="68"/>
      <c r="E112" s="68"/>
    </row>
    <row r="113" spans="1:5" x14ac:dyDescent="0.2">
      <c r="A113" s="68"/>
      <c r="B113" s="674"/>
      <c r="C113" s="68"/>
      <c r="D113" s="68"/>
      <c r="E113" s="68"/>
    </row>
    <row r="114" spans="1:5" x14ac:dyDescent="0.2">
      <c r="A114" s="68"/>
      <c r="B114" s="674"/>
      <c r="C114" s="68"/>
      <c r="D114" s="68"/>
      <c r="E114" s="68"/>
    </row>
    <row r="115" spans="1:5" x14ac:dyDescent="0.2">
      <c r="A115" s="68"/>
      <c r="B115" s="674"/>
      <c r="C115" s="68"/>
      <c r="D115" s="68"/>
      <c r="E115" s="68"/>
    </row>
    <row r="116" spans="1:5" x14ac:dyDescent="0.2">
      <c r="A116" s="68"/>
      <c r="B116" s="674"/>
      <c r="C116" s="68"/>
      <c r="D116" s="68"/>
      <c r="E116" s="68"/>
    </row>
    <row r="117" spans="1:5" x14ac:dyDescent="0.2">
      <c r="A117" s="68"/>
      <c r="B117" s="674"/>
      <c r="C117" s="68"/>
      <c r="D117" s="68"/>
      <c r="E117" s="68"/>
    </row>
    <row r="118" spans="1:5" x14ac:dyDescent="0.2">
      <c r="A118" s="68"/>
      <c r="B118" s="674"/>
      <c r="C118" s="68"/>
      <c r="D118" s="68"/>
      <c r="E118" s="68"/>
    </row>
    <row r="119" spans="1:5" x14ac:dyDescent="0.2">
      <c r="A119" s="68"/>
      <c r="B119" s="674"/>
      <c r="C119" s="68"/>
      <c r="D119" s="68"/>
      <c r="E119" s="68"/>
    </row>
    <row r="120" spans="1:5" x14ac:dyDescent="0.2">
      <c r="A120" s="68"/>
      <c r="B120" s="674"/>
      <c r="C120" s="68"/>
      <c r="D120" s="68"/>
      <c r="E120" s="68"/>
    </row>
    <row r="121" spans="1:5" x14ac:dyDescent="0.2">
      <c r="A121" s="68"/>
      <c r="B121" s="674"/>
      <c r="C121" s="68"/>
      <c r="D121" s="68"/>
      <c r="E121" s="68"/>
    </row>
    <row r="122" spans="1:5" x14ac:dyDescent="0.2">
      <c r="A122" s="68"/>
      <c r="B122" s="674"/>
      <c r="C122" s="68"/>
      <c r="D122" s="68"/>
      <c r="E122" s="68"/>
    </row>
    <row r="123" spans="1:5" x14ac:dyDescent="0.2">
      <c r="A123" s="68"/>
      <c r="B123" s="674"/>
      <c r="C123" s="68"/>
      <c r="D123" s="68"/>
      <c r="E123" s="68"/>
    </row>
    <row r="124" spans="1:5" x14ac:dyDescent="0.2">
      <c r="A124" s="68"/>
      <c r="B124" s="674"/>
      <c r="C124" s="68"/>
      <c r="D124" s="68"/>
      <c r="E124" s="68"/>
    </row>
    <row r="125" spans="1:5" x14ac:dyDescent="0.2">
      <c r="A125" s="68"/>
      <c r="B125" s="674"/>
      <c r="C125" s="68"/>
      <c r="D125" s="68"/>
      <c r="E125" s="68"/>
    </row>
    <row r="126" spans="1:5" x14ac:dyDescent="0.2">
      <c r="A126" s="68"/>
      <c r="B126" s="674"/>
      <c r="C126" s="68"/>
      <c r="D126" s="68"/>
      <c r="E126" s="68"/>
    </row>
    <row r="127" spans="1:5" x14ac:dyDescent="0.2">
      <c r="A127" s="68"/>
      <c r="B127" s="674"/>
      <c r="C127" s="68"/>
      <c r="D127" s="68"/>
      <c r="E127" s="68"/>
    </row>
    <row r="128" spans="1:5" x14ac:dyDescent="0.2">
      <c r="A128" s="68"/>
      <c r="B128" s="674"/>
      <c r="C128" s="68"/>
      <c r="D128" s="68"/>
      <c r="E128" s="68"/>
    </row>
    <row r="129" spans="1:5" x14ac:dyDescent="0.2">
      <c r="A129" s="68"/>
      <c r="B129" s="674"/>
      <c r="C129" s="68"/>
      <c r="D129" s="68"/>
      <c r="E129" s="68"/>
    </row>
    <row r="130" spans="1:5" x14ac:dyDescent="0.2">
      <c r="A130" s="68"/>
      <c r="B130" s="674"/>
      <c r="C130" s="68"/>
      <c r="D130" s="68"/>
      <c r="E130" s="68"/>
    </row>
    <row r="131" spans="1:5" x14ac:dyDescent="0.2">
      <c r="A131" s="68"/>
      <c r="B131" s="674"/>
      <c r="C131" s="68"/>
      <c r="D131" s="68"/>
      <c r="E131" s="68"/>
    </row>
    <row r="132" spans="1:5" x14ac:dyDescent="0.2">
      <c r="A132" s="68"/>
      <c r="B132" s="674"/>
      <c r="C132" s="68"/>
      <c r="D132" s="68"/>
      <c r="E132" s="68"/>
    </row>
    <row r="133" spans="1:5" x14ac:dyDescent="0.2">
      <c r="A133" s="68"/>
      <c r="B133" s="674"/>
      <c r="C133" s="68"/>
      <c r="D133" s="68"/>
      <c r="E133" s="68"/>
    </row>
    <row r="134" spans="1:5" x14ac:dyDescent="0.2">
      <c r="A134" s="68"/>
      <c r="B134" s="674"/>
      <c r="C134" s="68"/>
      <c r="D134" s="68"/>
      <c r="E134" s="68"/>
    </row>
    <row r="135" spans="1:5" x14ac:dyDescent="0.2">
      <c r="A135" s="68"/>
      <c r="B135" s="674"/>
      <c r="C135" s="68"/>
      <c r="D135" s="68"/>
      <c r="E135" s="68"/>
    </row>
    <row r="136" spans="1:5" x14ac:dyDescent="0.2">
      <c r="A136" s="68"/>
      <c r="B136" s="674"/>
      <c r="C136" s="68"/>
      <c r="D136" s="68"/>
      <c r="E136" s="68"/>
    </row>
    <row r="137" spans="1:5" x14ac:dyDescent="0.2">
      <c r="A137" s="68"/>
      <c r="B137" s="674"/>
      <c r="C137" s="68"/>
      <c r="D137" s="68"/>
      <c r="E137" s="68"/>
    </row>
    <row r="138" spans="1:5" x14ac:dyDescent="0.2">
      <c r="A138" s="68"/>
      <c r="B138" s="674"/>
      <c r="C138" s="68"/>
      <c r="D138" s="68"/>
      <c r="E138" s="68"/>
    </row>
    <row r="139" spans="1:5" x14ac:dyDescent="0.2">
      <c r="A139" s="68"/>
      <c r="B139" s="674"/>
      <c r="C139" s="68"/>
      <c r="D139" s="68"/>
      <c r="E139" s="68"/>
    </row>
    <row r="140" spans="1:5" x14ac:dyDescent="0.2">
      <c r="A140" s="68"/>
      <c r="B140" s="674"/>
      <c r="C140" s="68"/>
      <c r="D140" s="68"/>
      <c r="E140" s="68"/>
    </row>
    <row r="141" spans="1:5" x14ac:dyDescent="0.2">
      <c r="A141" s="68"/>
      <c r="B141" s="674"/>
      <c r="C141" s="68"/>
      <c r="D141" s="68"/>
      <c r="E141" s="68"/>
    </row>
    <row r="142" spans="1:5" x14ac:dyDescent="0.2">
      <c r="A142" s="68"/>
      <c r="B142" s="674"/>
      <c r="C142" s="68"/>
      <c r="D142" s="68"/>
      <c r="E142" s="68"/>
    </row>
    <row r="143" spans="1:5" x14ac:dyDescent="0.2">
      <c r="A143" s="68"/>
      <c r="B143" s="674"/>
      <c r="C143" s="68"/>
      <c r="D143" s="68"/>
      <c r="E143" s="68"/>
    </row>
    <row r="144" spans="1:5" x14ac:dyDescent="0.2">
      <c r="A144" s="68"/>
      <c r="B144" s="674"/>
      <c r="C144" s="68"/>
      <c r="D144" s="68"/>
      <c r="E144" s="68"/>
    </row>
    <row r="145" spans="1:5" x14ac:dyDescent="0.2">
      <c r="A145" s="68"/>
      <c r="B145" s="674"/>
      <c r="C145" s="68"/>
      <c r="D145" s="68"/>
      <c r="E145" s="68"/>
    </row>
    <row r="146" spans="1:5" x14ac:dyDescent="0.2">
      <c r="A146" s="68"/>
      <c r="B146" s="674"/>
      <c r="C146" s="68"/>
      <c r="D146" s="68"/>
      <c r="E146" s="68"/>
    </row>
    <row r="147" spans="1:5" x14ac:dyDescent="0.2">
      <c r="A147" s="68"/>
      <c r="B147" s="674"/>
      <c r="C147" s="68"/>
      <c r="D147" s="68"/>
      <c r="E147" s="68"/>
    </row>
    <row r="148" spans="1:5" x14ac:dyDescent="0.2">
      <c r="A148" s="68"/>
      <c r="B148" s="674"/>
      <c r="C148" s="68"/>
      <c r="D148" s="68"/>
      <c r="E148" s="68"/>
    </row>
    <row r="149" spans="1:5" x14ac:dyDescent="0.2">
      <c r="A149" s="68"/>
      <c r="B149" s="674"/>
      <c r="C149" s="68"/>
      <c r="D149" s="68"/>
      <c r="E149" s="68"/>
    </row>
    <row r="150" spans="1:5" x14ac:dyDescent="0.2">
      <c r="A150" s="68"/>
      <c r="B150" s="674"/>
      <c r="C150" s="68"/>
      <c r="D150" s="68"/>
      <c r="E150" s="68"/>
    </row>
    <row r="151" spans="1:5" x14ac:dyDescent="0.2">
      <c r="A151" s="68"/>
      <c r="B151" s="674"/>
      <c r="C151" s="68"/>
      <c r="D151" s="68"/>
      <c r="E151" s="68"/>
    </row>
    <row r="152" spans="1:5" x14ac:dyDescent="0.2">
      <c r="A152" s="68"/>
      <c r="B152" s="674"/>
      <c r="C152" s="68"/>
      <c r="D152" s="68"/>
      <c r="E152" s="68"/>
    </row>
    <row r="153" spans="1:5" x14ac:dyDescent="0.2">
      <c r="A153" s="68"/>
      <c r="B153" s="674"/>
      <c r="C153" s="68"/>
      <c r="D153" s="68"/>
      <c r="E153" s="68"/>
    </row>
    <row r="154" spans="1:5" x14ac:dyDescent="0.2">
      <c r="A154" s="68"/>
      <c r="B154" s="674"/>
      <c r="C154" s="68"/>
      <c r="D154" s="68"/>
      <c r="E154" s="68"/>
    </row>
    <row r="155" spans="1:5" x14ac:dyDescent="0.2">
      <c r="A155" s="68"/>
      <c r="B155" s="674"/>
      <c r="C155" s="68"/>
      <c r="D155" s="68"/>
      <c r="E155" s="68"/>
    </row>
    <row r="156" spans="1:5" x14ac:dyDescent="0.2">
      <c r="A156" s="68"/>
      <c r="B156" s="674"/>
      <c r="C156" s="68"/>
      <c r="D156" s="68"/>
      <c r="E156" s="68"/>
    </row>
    <row r="157" spans="1:5" x14ac:dyDescent="0.2">
      <c r="A157" s="68"/>
      <c r="B157" s="674"/>
      <c r="C157" s="68"/>
      <c r="D157" s="68"/>
      <c r="E157" s="68"/>
    </row>
    <row r="158" spans="1:5" x14ac:dyDescent="0.2">
      <c r="A158" s="68"/>
      <c r="B158" s="674"/>
      <c r="C158" s="68"/>
      <c r="D158" s="68"/>
      <c r="E158" s="68"/>
    </row>
    <row r="159" spans="1:5" x14ac:dyDescent="0.2">
      <c r="A159" s="68"/>
      <c r="B159" s="674"/>
      <c r="C159" s="68"/>
      <c r="D159" s="68"/>
      <c r="E159" s="68"/>
    </row>
    <row r="160" spans="1:5" x14ac:dyDescent="0.2">
      <c r="A160" s="68"/>
      <c r="B160" s="674"/>
      <c r="C160" s="68"/>
      <c r="D160" s="68"/>
      <c r="E160" s="68"/>
    </row>
    <row r="161" spans="1:5" x14ac:dyDescent="0.2">
      <c r="A161" s="68"/>
      <c r="B161" s="674"/>
      <c r="C161" s="68"/>
      <c r="D161" s="68"/>
      <c r="E161" s="68"/>
    </row>
    <row r="162" spans="1:5" x14ac:dyDescent="0.2">
      <c r="A162" s="68"/>
      <c r="B162" s="674"/>
      <c r="C162" s="68"/>
      <c r="D162" s="68"/>
      <c r="E162" s="68"/>
    </row>
    <row r="163" spans="1:5" x14ac:dyDescent="0.2">
      <c r="A163" s="68"/>
      <c r="B163" s="674"/>
      <c r="C163" s="68"/>
      <c r="D163" s="68"/>
      <c r="E163" s="68"/>
    </row>
    <row r="164" spans="1:5" x14ac:dyDescent="0.2">
      <c r="A164" s="68"/>
      <c r="B164" s="674"/>
      <c r="C164" s="68"/>
      <c r="D164" s="68"/>
      <c r="E164" s="68"/>
    </row>
    <row r="165" spans="1:5" x14ac:dyDescent="0.2">
      <c r="A165" s="68"/>
      <c r="B165" s="674"/>
      <c r="C165" s="68"/>
      <c r="D165" s="68"/>
      <c r="E165" s="68"/>
    </row>
    <row r="166" spans="1:5" x14ac:dyDescent="0.2">
      <c r="A166" s="68"/>
      <c r="B166" s="674"/>
      <c r="C166" s="68"/>
      <c r="D166" s="68"/>
      <c r="E166" s="68"/>
    </row>
    <row r="167" spans="1:5" x14ac:dyDescent="0.2">
      <c r="A167" s="68"/>
      <c r="B167" s="674"/>
      <c r="C167" s="68"/>
      <c r="D167" s="68"/>
      <c r="E167" s="68"/>
    </row>
    <row r="168" spans="1:5" x14ac:dyDescent="0.2">
      <c r="A168" s="68"/>
      <c r="B168" s="674"/>
      <c r="C168" s="68"/>
      <c r="D168" s="68"/>
      <c r="E168" s="68"/>
    </row>
    <row r="169" spans="1:5" x14ac:dyDescent="0.2">
      <c r="A169" s="68"/>
      <c r="B169" s="674"/>
      <c r="C169" s="68"/>
      <c r="D169" s="68"/>
      <c r="E169" s="68"/>
    </row>
    <row r="170" spans="1:5" x14ac:dyDescent="0.2">
      <c r="A170" s="68"/>
      <c r="B170" s="674"/>
      <c r="C170" s="68"/>
      <c r="D170" s="68"/>
      <c r="E170" s="68"/>
    </row>
    <row r="171" spans="1:5" x14ac:dyDescent="0.2">
      <c r="A171" s="68"/>
      <c r="B171" s="674"/>
      <c r="C171" s="68"/>
      <c r="D171" s="68"/>
      <c r="E171" s="68"/>
    </row>
  </sheetData>
  <mergeCells count="6">
    <mergeCell ref="A1:F1"/>
    <mergeCell ref="B30:E30"/>
    <mergeCell ref="B29:D29"/>
    <mergeCell ref="F29:H29"/>
    <mergeCell ref="A4:F4"/>
    <mergeCell ref="A2:F2"/>
  </mergeCells>
  <phoneticPr fontId="62" type="noConversion"/>
  <printOptions horizontalCentered="1"/>
  <pageMargins left="0.39370078740157483" right="0.39370078740157483" top="0.39370078740157483" bottom="0.39370078740157483" header="0.59055118110236227" footer="0.51181102362204722"/>
  <pageSetup paperSize="9" scale="56" firstPageNumber="0" orientation="portrait" cellComments="asDisplayed" horizontalDpi="300" verticalDpi="300" r:id="rId1"/>
  <headerFooter alignWithMargins="0">
    <oddFooter>&amp;L&amp;14* 75 %-os állami finanszírozás mellett átlag 13 fő foglalkoztatása.</oddFooter>
  </headerFooter>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38"/>
  <sheetViews>
    <sheetView view="pageBreakPreview" zoomScale="80" zoomScaleSheetLayoutView="80" workbookViewId="0">
      <selection activeCell="A3" sqref="A3:M3"/>
    </sheetView>
  </sheetViews>
  <sheetFormatPr defaultRowHeight="15" x14ac:dyDescent="0.25"/>
  <cols>
    <col min="1" max="1" width="69.28515625" style="202" customWidth="1"/>
    <col min="2" max="2" width="9.140625" style="202"/>
    <col min="3" max="3" width="16.42578125" style="202" bestFit="1" customWidth="1"/>
    <col min="4" max="6" width="16.42578125" style="202" customWidth="1"/>
    <col min="7" max="7" width="75.85546875" style="202" bestFit="1" customWidth="1"/>
    <col min="8" max="8" width="8.85546875" style="202" bestFit="1" customWidth="1"/>
    <col min="9" max="9" width="14.85546875" style="202" bestFit="1" customWidth="1"/>
    <col min="10" max="10" width="14.85546875" style="202" customWidth="1"/>
    <col min="11" max="11" width="15.7109375" style="202" customWidth="1"/>
    <col min="12" max="12" width="17.5703125" style="202" customWidth="1"/>
    <col min="13" max="16384" width="9.140625" style="202"/>
  </cols>
  <sheetData>
    <row r="1" spans="1:13" ht="20.25" x14ac:dyDescent="0.3">
      <c r="A1" s="2531" t="str">
        <f>Tartalomjegyzék_2017!A1</f>
        <v>Pilisvörösvár Város Önkormányzata Képviselő-testületének 7/2018. (IV. 27.) önkormányzati rendelete</v>
      </c>
      <c r="B1" s="2531"/>
      <c r="C1" s="2531"/>
      <c r="D1" s="2531"/>
      <c r="E1" s="2531"/>
      <c r="F1" s="2531"/>
      <c r="G1" s="2531"/>
      <c r="H1" s="2531"/>
      <c r="I1" s="2531"/>
      <c r="J1" s="2531"/>
      <c r="K1" s="2531"/>
      <c r="L1" s="2531"/>
      <c r="M1" s="2531"/>
    </row>
    <row r="2" spans="1:13" ht="20.25" x14ac:dyDescent="0.3">
      <c r="A2" s="2531" t="str">
        <f>Tartalomjegyzék_2017!A2</f>
        <v>az Önkormányzat  2017. évi zárszámadásáról</v>
      </c>
      <c r="B2" s="2531"/>
      <c r="C2" s="2531"/>
      <c r="D2" s="2531"/>
      <c r="E2" s="2531"/>
      <c r="F2" s="2531"/>
      <c r="G2" s="2531"/>
      <c r="H2" s="2531"/>
      <c r="I2" s="2531"/>
      <c r="J2" s="2531"/>
      <c r="K2" s="2531"/>
      <c r="L2" s="2531"/>
      <c r="M2" s="2531"/>
    </row>
    <row r="3" spans="1:13" ht="20.25" x14ac:dyDescent="0.3">
      <c r="A3" s="2532"/>
      <c r="B3" s="2532"/>
      <c r="C3" s="2532"/>
      <c r="D3" s="2532"/>
      <c r="E3" s="2532"/>
      <c r="F3" s="2532"/>
      <c r="G3" s="2532"/>
      <c r="H3" s="2532"/>
      <c r="I3" s="2532"/>
      <c r="J3" s="2532"/>
      <c r="K3" s="2532"/>
      <c r="L3" s="2532"/>
      <c r="M3" s="2532"/>
    </row>
    <row r="4" spans="1:13" ht="20.25" x14ac:dyDescent="0.3">
      <c r="A4" s="2532" t="str">
        <f>Tartalomjegyzék_2017!B34</f>
        <v>Pilisvörösvár Város Önkormányzatának 2017. évi mérlege</v>
      </c>
      <c r="B4" s="2532"/>
      <c r="C4" s="2532"/>
      <c r="D4" s="2532"/>
      <c r="E4" s="2532"/>
      <c r="F4" s="2532"/>
      <c r="G4" s="2532"/>
      <c r="H4" s="2532"/>
      <c r="I4" s="2532"/>
      <c r="J4" s="2532"/>
      <c r="K4" s="2532"/>
      <c r="L4" s="2532"/>
      <c r="M4" s="2532"/>
    </row>
    <row r="5" spans="1:13" ht="20.25" x14ac:dyDescent="0.3">
      <c r="A5" s="203"/>
      <c r="B5" s="203"/>
      <c r="C5" s="203"/>
      <c r="D5" s="203"/>
      <c r="E5" s="203"/>
      <c r="F5" s="203"/>
      <c r="G5" s="203"/>
      <c r="H5" s="203"/>
      <c r="I5" s="203"/>
      <c r="J5" s="203"/>
      <c r="L5" s="847" t="s">
        <v>20</v>
      </c>
    </row>
    <row r="6" spans="1:13" ht="21" thickBot="1" x14ac:dyDescent="0.35">
      <c r="A6" s="204"/>
      <c r="B6" s="203"/>
      <c r="C6" s="203"/>
      <c r="D6" s="203"/>
      <c r="E6" s="203"/>
      <c r="F6" s="203"/>
      <c r="G6" s="203"/>
      <c r="H6" s="203"/>
      <c r="I6" s="203"/>
      <c r="J6" s="203"/>
      <c r="L6" s="847" t="s">
        <v>323</v>
      </c>
    </row>
    <row r="7" spans="1:13" ht="57" thickBot="1" x14ac:dyDescent="0.3">
      <c r="A7" s="205" t="s">
        <v>363</v>
      </c>
      <c r="B7" s="88" t="s">
        <v>364</v>
      </c>
      <c r="C7" s="206" t="s">
        <v>896</v>
      </c>
      <c r="D7" s="207" t="s">
        <v>897</v>
      </c>
      <c r="E7" s="207" t="s">
        <v>898</v>
      </c>
      <c r="F7" s="207" t="s">
        <v>899</v>
      </c>
      <c r="G7" s="543" t="s">
        <v>363</v>
      </c>
      <c r="H7" s="544" t="s">
        <v>287</v>
      </c>
      <c r="I7" s="206" t="s">
        <v>896</v>
      </c>
      <c r="J7" s="207" t="s">
        <v>897</v>
      </c>
      <c r="K7" s="207" t="s">
        <v>898</v>
      </c>
      <c r="L7" s="207" t="s">
        <v>899</v>
      </c>
    </row>
    <row r="8" spans="1:13" ht="30" customHeight="1" x14ac:dyDescent="0.3">
      <c r="A8" s="208" t="s">
        <v>373</v>
      </c>
      <c r="B8" s="209" t="s">
        <v>374</v>
      </c>
      <c r="C8" s="211">
        <v>601120</v>
      </c>
      <c r="D8" s="212">
        <v>602482</v>
      </c>
      <c r="E8" s="212">
        <f>'2.Bevételek_részletes'!X8</f>
        <v>604691.75923127495</v>
      </c>
      <c r="F8" s="212">
        <f>'2.Bevételek_részletes'!AC8</f>
        <v>604691.75923127495</v>
      </c>
      <c r="G8" s="545" t="s">
        <v>289</v>
      </c>
      <c r="H8" s="541" t="s">
        <v>288</v>
      </c>
      <c r="I8" s="542">
        <v>671639</v>
      </c>
      <c r="J8" s="542">
        <v>704348</v>
      </c>
      <c r="K8" s="542">
        <f>'2.Kiadások_részletes '!X11</f>
        <v>780942</v>
      </c>
      <c r="L8" s="542">
        <f>'2.Kiadások_részletes '!AC11</f>
        <v>780942</v>
      </c>
    </row>
    <row r="9" spans="1:13" ht="30" customHeight="1" x14ac:dyDescent="0.3">
      <c r="A9" s="215" t="s">
        <v>656</v>
      </c>
      <c r="B9" s="209" t="s">
        <v>657</v>
      </c>
      <c r="C9" s="211">
        <v>3993</v>
      </c>
      <c r="D9" s="212">
        <v>4386</v>
      </c>
      <c r="E9" s="212"/>
      <c r="F9" s="212"/>
      <c r="G9" s="216" t="s">
        <v>291</v>
      </c>
      <c r="H9" s="213" t="s">
        <v>290</v>
      </c>
      <c r="I9" s="214">
        <v>181920</v>
      </c>
      <c r="J9" s="214">
        <v>197799</v>
      </c>
      <c r="K9" s="542">
        <f>'2.Kiadások_részletes '!X12</f>
        <v>177320</v>
      </c>
      <c r="L9" s="542">
        <f>'2.Kiadások_részletes '!AC12</f>
        <v>177320</v>
      </c>
    </row>
    <row r="10" spans="1:13" ht="30" customHeight="1" x14ac:dyDescent="0.3">
      <c r="A10" s="215" t="s">
        <v>375</v>
      </c>
      <c r="B10" s="209" t="s">
        <v>376</v>
      </c>
      <c r="C10" s="211">
        <v>281320</v>
      </c>
      <c r="D10" s="212">
        <v>290140</v>
      </c>
      <c r="E10" s="212">
        <f>'2.Bevételek_részletes'!X9</f>
        <v>275705.942675</v>
      </c>
      <c r="F10" s="212">
        <f>'2.Bevételek_részletes'!AC9</f>
        <v>275705.942675</v>
      </c>
      <c r="G10" s="216" t="s">
        <v>293</v>
      </c>
      <c r="H10" s="213" t="s">
        <v>292</v>
      </c>
      <c r="I10" s="214">
        <v>710712</v>
      </c>
      <c r="J10" s="214">
        <v>609828</v>
      </c>
      <c r="K10" s="542">
        <f>'2.Kiadások_részletes '!X13</f>
        <v>616436.06400000001</v>
      </c>
      <c r="L10" s="542">
        <f>'2.Kiadások_részletes '!AC13</f>
        <v>616436.06400000001</v>
      </c>
    </row>
    <row r="11" spans="1:13" ht="30" customHeight="1" x14ac:dyDescent="0.3">
      <c r="A11" s="216" t="s">
        <v>377</v>
      </c>
      <c r="B11" s="217" t="s">
        <v>378</v>
      </c>
      <c r="C11" s="218">
        <f>SUM(C8:C10)</f>
        <v>886433</v>
      </c>
      <c r="D11" s="218">
        <f>SUM(D8:D10)</f>
        <v>897008</v>
      </c>
      <c r="E11" s="218">
        <f t="shared" ref="E11:F11" si="0">SUM(E8:E10)</f>
        <v>880397.701906275</v>
      </c>
      <c r="F11" s="218">
        <f t="shared" si="0"/>
        <v>880397.701906275</v>
      </c>
      <c r="G11" s="223" t="s">
        <v>39</v>
      </c>
      <c r="H11" s="213" t="s">
        <v>294</v>
      </c>
      <c r="I11" s="214">
        <v>19338</v>
      </c>
      <c r="J11" s="214">
        <v>15673</v>
      </c>
      <c r="K11" s="542">
        <f>'2.Kiadások_részletes '!X14</f>
        <v>19366</v>
      </c>
      <c r="L11" s="542">
        <f>'2.Kiadások_részletes '!AC14</f>
        <v>19366</v>
      </c>
    </row>
    <row r="12" spans="1:13" ht="30" customHeight="1" x14ac:dyDescent="0.3">
      <c r="A12" s="215" t="s">
        <v>658</v>
      </c>
      <c r="B12" s="209" t="s">
        <v>146</v>
      </c>
      <c r="C12" s="211">
        <v>87774</v>
      </c>
      <c r="D12" s="220">
        <v>88151</v>
      </c>
      <c r="E12" s="220">
        <f>'2.Bevételek_részletes'!X14</f>
        <v>86000</v>
      </c>
      <c r="F12" s="220">
        <f>'2.Bevételek_részletes'!AC14</f>
        <v>86000</v>
      </c>
      <c r="G12" s="546" t="s">
        <v>121</v>
      </c>
      <c r="H12" s="221" t="s">
        <v>120</v>
      </c>
      <c r="I12" s="210">
        <v>9613</v>
      </c>
      <c r="J12" s="211">
        <v>8712</v>
      </c>
      <c r="K12" s="211">
        <f>'2.Kiadások_részletes '!X15</f>
        <v>0</v>
      </c>
      <c r="L12" s="211">
        <f>'2.Kiadások_részletes '!AC15</f>
        <v>0</v>
      </c>
    </row>
    <row r="13" spans="1:13" ht="30" customHeight="1" x14ac:dyDescent="0.3">
      <c r="A13" s="215" t="s">
        <v>659</v>
      </c>
      <c r="B13" s="209" t="s">
        <v>103</v>
      </c>
      <c r="C13" s="211">
        <v>542500</v>
      </c>
      <c r="D13" s="220">
        <v>540326</v>
      </c>
      <c r="E13" s="220">
        <f>'2.Bevételek_részletes'!X15</f>
        <v>540500</v>
      </c>
      <c r="F13" s="220">
        <f>'2.Bevételek_részletes'!AC15</f>
        <v>540500</v>
      </c>
      <c r="G13" s="546" t="s">
        <v>296</v>
      </c>
      <c r="H13" s="221" t="s">
        <v>295</v>
      </c>
      <c r="I13" s="210">
        <v>92055</v>
      </c>
      <c r="J13" s="211">
        <v>108468</v>
      </c>
      <c r="K13" s="211">
        <f>'2.Kiadások_részletes '!X16</f>
        <v>107182</v>
      </c>
      <c r="L13" s="211">
        <f>'2.Kiadások_részletes '!AC16</f>
        <v>107182</v>
      </c>
    </row>
    <row r="14" spans="1:13" ht="30" customHeight="1" x14ac:dyDescent="0.3">
      <c r="A14" s="215" t="s">
        <v>153</v>
      </c>
      <c r="B14" s="209" t="s">
        <v>385</v>
      </c>
      <c r="C14" s="211">
        <v>6719</v>
      </c>
      <c r="D14" s="212">
        <v>4165</v>
      </c>
      <c r="E14" s="220">
        <f>'2.Bevételek_részletes'!X16</f>
        <v>5700</v>
      </c>
      <c r="F14" s="220">
        <f>'2.Bevételek_részletes'!AC16</f>
        <v>5700</v>
      </c>
      <c r="G14" s="546" t="s">
        <v>297</v>
      </c>
      <c r="H14" s="221" t="s">
        <v>298</v>
      </c>
      <c r="I14" s="210">
        <v>10996</v>
      </c>
      <c r="J14" s="211">
        <v>8964</v>
      </c>
      <c r="K14" s="211">
        <f>'2.Kiadások_részletes '!X17</f>
        <v>10706</v>
      </c>
      <c r="L14" s="211">
        <f>'2.Kiadások_részletes '!AC17</f>
        <v>10706</v>
      </c>
    </row>
    <row r="15" spans="1:13" ht="30" customHeight="1" x14ac:dyDescent="0.3">
      <c r="A15" s="216" t="s">
        <v>386</v>
      </c>
      <c r="B15" s="217" t="s">
        <v>387</v>
      </c>
      <c r="C15" s="218">
        <f>SUM(C12:C14)</f>
        <v>636993</v>
      </c>
      <c r="D15" s="218">
        <f>SUM(D12:D14)</f>
        <v>632642</v>
      </c>
      <c r="E15" s="218">
        <f>SUM(E12:E14)</f>
        <v>632200</v>
      </c>
      <c r="F15" s="218">
        <f>SUM(F12:F14)</f>
        <v>632200</v>
      </c>
      <c r="G15" s="547" t="s">
        <v>137</v>
      </c>
      <c r="H15" s="221" t="s">
        <v>785</v>
      </c>
      <c r="I15" s="222">
        <v>0</v>
      </c>
      <c r="J15" s="211">
        <v>0</v>
      </c>
      <c r="K15" s="211">
        <f>'2.Kiadások_részletes '!X18</f>
        <v>198454</v>
      </c>
      <c r="L15" s="211">
        <f>'2.Kiadások_részletes '!AC18</f>
        <v>198454</v>
      </c>
    </row>
    <row r="16" spans="1:13" ht="30" customHeight="1" x14ac:dyDescent="0.3">
      <c r="A16" s="223" t="s">
        <v>402</v>
      </c>
      <c r="B16" s="217" t="s">
        <v>403</v>
      </c>
      <c r="C16" s="218">
        <v>399566</v>
      </c>
      <c r="D16" s="219">
        <v>287689</v>
      </c>
      <c r="E16" s="219">
        <f>'2.Bevételek_részletes'!X26</f>
        <v>300724.25436000002</v>
      </c>
      <c r="F16" s="219">
        <f>'2.Bevételek_részletes'!AC26</f>
        <v>300724.25436000002</v>
      </c>
      <c r="G16" s="223" t="s">
        <v>302</v>
      </c>
      <c r="H16" s="213" t="s">
        <v>301</v>
      </c>
      <c r="I16" s="214">
        <f>SUM(I12:I15)</f>
        <v>112664</v>
      </c>
      <c r="J16" s="214">
        <f>SUM(J12:J15)</f>
        <v>126144</v>
      </c>
      <c r="K16" s="214">
        <f>SUM(K12:K15)</f>
        <v>316342</v>
      </c>
      <c r="L16" s="214">
        <f>SUM(L12:L15)</f>
        <v>316342</v>
      </c>
    </row>
    <row r="17" spans="1:13" ht="30" customHeight="1" x14ac:dyDescent="0.35">
      <c r="A17" s="216" t="s">
        <v>412</v>
      </c>
      <c r="B17" s="217" t="s">
        <v>413</v>
      </c>
      <c r="C17" s="218">
        <v>173</v>
      </c>
      <c r="D17" s="219">
        <v>1767</v>
      </c>
      <c r="E17" s="219">
        <f>'2.Bevételek_részletes'!X31</f>
        <v>0</v>
      </c>
      <c r="F17" s="219">
        <f>'2.Bevételek_részletes'!AC31</f>
        <v>0</v>
      </c>
      <c r="G17" s="236" t="s">
        <v>324</v>
      </c>
      <c r="H17" s="234"/>
      <c r="I17" s="235">
        <f>SUM(I8,I9,I10,I11,I16)</f>
        <v>1696273</v>
      </c>
      <c r="J17" s="235">
        <f>SUM(J8,J9,J10,J11,J16)</f>
        <v>1653792</v>
      </c>
      <c r="K17" s="235">
        <f t="shared" ref="K17:L17" si="1">SUM(K8,K9,K10,K11,K16)</f>
        <v>1910406.064</v>
      </c>
      <c r="L17" s="235">
        <f t="shared" si="1"/>
        <v>1910406.064</v>
      </c>
    </row>
    <row r="18" spans="1:13" ht="30" customHeight="1" x14ac:dyDescent="0.35">
      <c r="A18" s="236" t="s">
        <v>92</v>
      </c>
      <c r="B18" s="237"/>
      <c r="C18" s="235">
        <f>SUM(C11,C15,C16,C17)</f>
        <v>1923165</v>
      </c>
      <c r="D18" s="235">
        <f>SUM(D11,D15,D16,D17)</f>
        <v>1819106</v>
      </c>
      <c r="E18" s="235">
        <f>SUM(E11,E15,E16,E17)</f>
        <v>1813321.9562662751</v>
      </c>
      <c r="F18" s="235">
        <f t="shared" ref="F18" si="2">SUM(F11,F15,F16,F17)</f>
        <v>1813321.9562662751</v>
      </c>
      <c r="G18" s="548" t="s">
        <v>446</v>
      </c>
      <c r="H18" s="213" t="s">
        <v>303</v>
      </c>
      <c r="I18" s="210">
        <v>863136</v>
      </c>
      <c r="J18" s="211">
        <v>248503</v>
      </c>
      <c r="K18" s="211">
        <f>'2.Kiadások_részletes '!X21</f>
        <v>280932</v>
      </c>
      <c r="L18" s="211">
        <f>'2.Kiadások_részletes '!AC21</f>
        <v>280932</v>
      </c>
    </row>
    <row r="19" spans="1:13" ht="30" customHeight="1" x14ac:dyDescent="0.3">
      <c r="A19" s="216" t="s">
        <v>381</v>
      </c>
      <c r="B19" s="217" t="s">
        <v>382</v>
      </c>
      <c r="C19" s="211">
        <v>566743</v>
      </c>
      <c r="D19" s="212">
        <v>14073</v>
      </c>
      <c r="E19" s="212">
        <f>'2.Bevételek_részletes'!X13</f>
        <v>0</v>
      </c>
      <c r="F19" s="212">
        <f>'2.Bevételek_részletes'!AC13</f>
        <v>0</v>
      </c>
      <c r="G19" s="223" t="s">
        <v>305</v>
      </c>
      <c r="H19" s="213" t="s">
        <v>304</v>
      </c>
      <c r="I19" s="210">
        <v>21001</v>
      </c>
      <c r="J19" s="211">
        <v>17723</v>
      </c>
      <c r="K19" s="211">
        <f>'2.Kiadások_részletes '!X22</f>
        <v>26619</v>
      </c>
      <c r="L19" s="211">
        <f>'2.Kiadások_részletes '!AC22</f>
        <v>26619</v>
      </c>
    </row>
    <row r="20" spans="1:13" ht="30" customHeight="1" x14ac:dyDescent="0.3">
      <c r="A20" s="216" t="s">
        <v>408</v>
      </c>
      <c r="B20" s="217" t="s">
        <v>409</v>
      </c>
      <c r="C20" s="211">
        <v>72848</v>
      </c>
      <c r="D20" s="212">
        <v>41434</v>
      </c>
      <c r="E20" s="212">
        <f>'2.Bevételek_részletes'!X29</f>
        <v>8379</v>
      </c>
      <c r="F20" s="212">
        <f>'2.Bevételek_részletes'!AC29</f>
        <v>8379</v>
      </c>
      <c r="G20" s="223" t="s">
        <v>309</v>
      </c>
      <c r="H20" s="213" t="s">
        <v>308</v>
      </c>
      <c r="I20" s="210">
        <v>6571</v>
      </c>
      <c r="J20" s="211">
        <v>560</v>
      </c>
      <c r="K20" s="211">
        <f>'2.Kiadások_részletes '!X25</f>
        <v>0</v>
      </c>
      <c r="L20" s="211">
        <f>'2.Kiadások_részletes '!AC25</f>
        <v>0</v>
      </c>
    </row>
    <row r="21" spans="1:13" ht="30" customHeight="1" x14ac:dyDescent="0.35">
      <c r="A21" s="216" t="s">
        <v>418</v>
      </c>
      <c r="B21" s="217" t="s">
        <v>419</v>
      </c>
      <c r="C21" s="225">
        <v>44698</v>
      </c>
      <c r="D21" s="226">
        <v>6319</v>
      </c>
      <c r="E21" s="226">
        <f>'2.Bevételek_részletes'!X34</f>
        <v>2726</v>
      </c>
      <c r="F21" s="226">
        <f>'2.Bevételek_részletes'!AC34</f>
        <v>2726</v>
      </c>
      <c r="G21" s="236" t="s">
        <v>325</v>
      </c>
      <c r="H21" s="234"/>
      <c r="I21" s="235">
        <f>SUM(I18:I20)</f>
        <v>890708</v>
      </c>
      <c r="J21" s="235">
        <f>SUM(J18:J20)</f>
        <v>266786</v>
      </c>
      <c r="K21" s="235">
        <f t="shared" ref="K21:L21" si="3">SUM(K18:K20)</f>
        <v>307551</v>
      </c>
      <c r="L21" s="235">
        <f t="shared" si="3"/>
        <v>307551</v>
      </c>
    </row>
    <row r="22" spans="1:13" ht="30" customHeight="1" x14ac:dyDescent="0.35">
      <c r="A22" s="236" t="s">
        <v>93</v>
      </c>
      <c r="B22" s="237"/>
      <c r="C22" s="235">
        <f>SUM(C19:C21)</f>
        <v>684289</v>
      </c>
      <c r="D22" s="235">
        <f>SUM(D19:D21)</f>
        <v>61826</v>
      </c>
      <c r="E22" s="235">
        <f>SUM(E19:E21)</f>
        <v>11105</v>
      </c>
      <c r="F22" s="235">
        <f t="shared" ref="F22" si="4">SUM(F19:F21)</f>
        <v>11105</v>
      </c>
      <c r="G22" s="549" t="s">
        <v>311</v>
      </c>
      <c r="H22" s="243" t="s">
        <v>310</v>
      </c>
      <c r="I22" s="240">
        <f>SUM(I17,I21)</f>
        <v>2586981</v>
      </c>
      <c r="J22" s="240">
        <f>SUM(J17,J21)</f>
        <v>1920578</v>
      </c>
      <c r="K22" s="240">
        <f t="shared" ref="K22:L22" si="5">SUM(K17,K21)</f>
        <v>2217957.0640000002</v>
      </c>
      <c r="L22" s="240">
        <f t="shared" si="5"/>
        <v>2217957.0640000002</v>
      </c>
    </row>
    <row r="23" spans="1:13" ht="30" customHeight="1" x14ac:dyDescent="0.3">
      <c r="A23" s="238" t="s">
        <v>420</v>
      </c>
      <c r="B23" s="239" t="s">
        <v>421</v>
      </c>
      <c r="C23" s="240">
        <f>SUM(C18,C22)</f>
        <v>2607454</v>
      </c>
      <c r="D23" s="240">
        <f>SUM(D18,D22)</f>
        <v>1880932</v>
      </c>
      <c r="E23" s="240">
        <f t="shared" ref="E23:F23" si="6">SUM(E18,E22)</f>
        <v>1824426.9562662751</v>
      </c>
      <c r="F23" s="240">
        <f t="shared" si="6"/>
        <v>1824426.9562662751</v>
      </c>
      <c r="G23" s="228" t="s">
        <v>313</v>
      </c>
      <c r="H23" s="227" t="s">
        <v>312</v>
      </c>
      <c r="I23" s="224">
        <v>2990</v>
      </c>
      <c r="J23" s="224">
        <v>1320</v>
      </c>
      <c r="K23" s="224">
        <f>'2.Kiadások_részletes '!X30</f>
        <v>1320</v>
      </c>
      <c r="L23" s="224">
        <f>'2.Kiadások_részletes '!AC30</f>
        <v>1320</v>
      </c>
      <c r="M23" s="224"/>
    </row>
    <row r="24" spans="1:13" ht="30" customHeight="1" x14ac:dyDescent="0.3">
      <c r="A24" s="228" t="s">
        <v>426</v>
      </c>
      <c r="B24" s="227" t="s">
        <v>427</v>
      </c>
      <c r="C24" s="211">
        <v>0</v>
      </c>
      <c r="D24" s="212"/>
      <c r="E24" s="212">
        <f>'2.Bevételek_részletes'!X40</f>
        <v>0</v>
      </c>
      <c r="F24" s="212">
        <f>'2.Bevételek_részletes'!AC40</f>
        <v>0</v>
      </c>
      <c r="G24" s="229" t="s">
        <v>315</v>
      </c>
      <c r="H24" s="227" t="s">
        <v>314</v>
      </c>
      <c r="I24" s="224">
        <v>0</v>
      </c>
      <c r="J24" s="224">
        <v>0</v>
      </c>
      <c r="K24" s="224"/>
      <c r="L24" s="224"/>
      <c r="M24" s="224"/>
    </row>
    <row r="25" spans="1:13" ht="30" customHeight="1" x14ac:dyDescent="0.3">
      <c r="A25" s="229" t="s">
        <v>651</v>
      </c>
      <c r="B25" s="227" t="s">
        <v>652</v>
      </c>
      <c r="C25" s="211">
        <v>0</v>
      </c>
      <c r="D25" s="212"/>
      <c r="E25" s="212"/>
      <c r="F25" s="212"/>
      <c r="G25" s="229" t="s">
        <v>729</v>
      </c>
      <c r="H25" s="227" t="s">
        <v>730</v>
      </c>
      <c r="I25" s="224">
        <v>17070</v>
      </c>
      <c r="J25" s="224">
        <v>19661</v>
      </c>
      <c r="K25" s="224">
        <f>'2.Kiadások_részletes '!X32</f>
        <v>20599</v>
      </c>
      <c r="L25" s="224">
        <f>'2.Kiadások_részletes '!AC32</f>
        <v>20599</v>
      </c>
      <c r="M25" s="224"/>
    </row>
    <row r="26" spans="1:13" ht="30" customHeight="1" x14ac:dyDescent="0.3">
      <c r="A26" s="215" t="s">
        <v>431</v>
      </c>
      <c r="B26" s="227" t="s">
        <v>432</v>
      </c>
      <c r="C26" s="211">
        <v>465064</v>
      </c>
      <c r="D26" s="212">
        <v>485135</v>
      </c>
      <c r="E26" s="212">
        <f>'2.Bevételek_részletes'!X44</f>
        <v>415449</v>
      </c>
      <c r="F26" s="212">
        <f>'2.Bevételek_részletes'!AC44</f>
        <v>415449</v>
      </c>
      <c r="G26" s="229" t="s">
        <v>327</v>
      </c>
      <c r="H26" s="227" t="s">
        <v>326</v>
      </c>
      <c r="I26" s="230">
        <v>789807</v>
      </c>
      <c r="J26" s="230">
        <v>824527</v>
      </c>
      <c r="K26" s="230">
        <f>'2.Kiadások_részletes '!X33</f>
        <v>930476.98200000008</v>
      </c>
      <c r="L26" s="230">
        <f>'2.Kiadások_részletes '!AC33</f>
        <v>0</v>
      </c>
      <c r="M26" s="230"/>
    </row>
    <row r="27" spans="1:13" ht="30" customHeight="1" x14ac:dyDescent="0.3">
      <c r="A27" s="215" t="s">
        <v>731</v>
      </c>
      <c r="B27" s="227" t="s">
        <v>732</v>
      </c>
      <c r="C27" s="211">
        <v>19662</v>
      </c>
      <c r="D27" s="212">
        <v>19955</v>
      </c>
      <c r="E27" s="212"/>
      <c r="F27" s="212"/>
      <c r="G27" s="249" t="s">
        <v>317</v>
      </c>
      <c r="H27" s="231" t="s">
        <v>316</v>
      </c>
      <c r="I27" s="419">
        <f>SUM(I23:I26)</f>
        <v>809867</v>
      </c>
      <c r="J27" s="419">
        <f>SUM(J23:J26)</f>
        <v>845508</v>
      </c>
      <c r="K27" s="419">
        <f t="shared" ref="K27:L27" si="7">SUM(K23:K26)</f>
        <v>952395.98200000008</v>
      </c>
      <c r="L27" s="419">
        <f t="shared" si="7"/>
        <v>21919</v>
      </c>
    </row>
    <row r="28" spans="1:13" ht="30" customHeight="1" x14ac:dyDescent="0.3">
      <c r="A28" s="215" t="s">
        <v>516</v>
      </c>
      <c r="B28" s="227" t="s">
        <v>434</v>
      </c>
      <c r="C28" s="211">
        <v>789807</v>
      </c>
      <c r="D28" s="212">
        <v>824527</v>
      </c>
      <c r="E28" s="212">
        <f>'2.Bevételek_részletes'!X46</f>
        <v>930476.98200000008</v>
      </c>
      <c r="F28" s="212">
        <f>'2.Bevételek_részletes'!AC46</f>
        <v>0</v>
      </c>
      <c r="G28" s="249" t="s">
        <v>319</v>
      </c>
      <c r="H28" s="231" t="s">
        <v>318</v>
      </c>
      <c r="I28" s="230">
        <v>0</v>
      </c>
      <c r="J28" s="230">
        <v>0</v>
      </c>
      <c r="K28" s="230"/>
      <c r="L28" s="230"/>
    </row>
    <row r="29" spans="1:13" ht="18.75" x14ac:dyDescent="0.3">
      <c r="A29" s="215" t="s">
        <v>696</v>
      </c>
      <c r="B29" s="227"/>
      <c r="C29" s="211"/>
      <c r="D29" s="210"/>
      <c r="E29" s="210"/>
      <c r="F29" s="210"/>
      <c r="G29" s="241" t="s">
        <v>42</v>
      </c>
      <c r="H29" s="242" t="s">
        <v>322</v>
      </c>
      <c r="I29" s="244">
        <f>SUM(I27:I28)</f>
        <v>809867</v>
      </c>
      <c r="J29" s="244">
        <f>SUM(J27:J28)</f>
        <v>845508</v>
      </c>
      <c r="K29" s="244">
        <f t="shared" ref="K29:L29" si="8">SUM(K27:K28)</f>
        <v>952395.98200000008</v>
      </c>
      <c r="L29" s="244">
        <f t="shared" si="8"/>
        <v>21919</v>
      </c>
    </row>
    <row r="30" spans="1:13" ht="30" customHeight="1" thickBot="1" x14ac:dyDescent="0.35">
      <c r="A30" s="223" t="s">
        <v>437</v>
      </c>
      <c r="B30" s="231" t="s">
        <v>438</v>
      </c>
      <c r="C30" s="218">
        <f>SUM(C24:C29)</f>
        <v>1274533</v>
      </c>
      <c r="D30" s="218">
        <f>SUM(D24:D29)</f>
        <v>1329617</v>
      </c>
      <c r="E30" s="218">
        <f t="shared" ref="E30:F30" si="9">SUM(E24:E29)</f>
        <v>1345925.9820000001</v>
      </c>
      <c r="F30" s="218">
        <f t="shared" si="9"/>
        <v>415449</v>
      </c>
      <c r="G30" s="247" t="s">
        <v>346</v>
      </c>
      <c r="H30" s="245"/>
      <c r="I30" s="246">
        <f>SUM(I22,I29)</f>
        <v>3396848</v>
      </c>
      <c r="J30" s="246">
        <f>SUM(J22,J29)</f>
        <v>2766086</v>
      </c>
      <c r="K30" s="246">
        <f t="shared" ref="K30:L30" si="10">SUM(K22,K29)</f>
        <v>3170353.0460000001</v>
      </c>
      <c r="L30" s="246">
        <f t="shared" si="10"/>
        <v>2239876.0640000002</v>
      </c>
    </row>
    <row r="31" spans="1:13" ht="30" customHeight="1" x14ac:dyDescent="0.3">
      <c r="A31" s="249" t="s">
        <v>653</v>
      </c>
      <c r="B31" s="231" t="s">
        <v>654</v>
      </c>
      <c r="C31" s="210">
        <v>0</v>
      </c>
      <c r="D31" s="210"/>
      <c r="E31" s="210"/>
      <c r="F31" s="210"/>
      <c r="G31" s="204"/>
      <c r="H31" s="204"/>
      <c r="I31" s="232"/>
      <c r="J31" s="232"/>
    </row>
    <row r="32" spans="1:13" ht="39.75" customHeight="1" x14ac:dyDescent="0.3">
      <c r="A32" s="223" t="s">
        <v>439</v>
      </c>
      <c r="B32" s="231" t="s">
        <v>440</v>
      </c>
      <c r="C32" s="210">
        <v>0</v>
      </c>
      <c r="D32" s="210"/>
      <c r="E32" s="210"/>
      <c r="F32" s="210"/>
      <c r="G32" s="204"/>
      <c r="H32" s="204"/>
      <c r="I32" s="233"/>
      <c r="J32" s="233"/>
    </row>
    <row r="33" spans="1:12" ht="18.75" x14ac:dyDescent="0.3">
      <c r="A33" s="241" t="s">
        <v>441</v>
      </c>
      <c r="B33" s="242" t="s">
        <v>442</v>
      </c>
      <c r="C33" s="240">
        <f>SUM(C30:C32)</f>
        <v>1274533</v>
      </c>
      <c r="D33" s="240">
        <f>SUM(D30:D32)</f>
        <v>1329617</v>
      </c>
      <c r="E33" s="240">
        <f t="shared" ref="E33:F33" si="11">SUM(E30:E32)</f>
        <v>1345925.9820000001</v>
      </c>
      <c r="F33" s="240">
        <f t="shared" si="11"/>
        <v>415449</v>
      </c>
      <c r="G33" s="204"/>
      <c r="H33" s="204"/>
      <c r="I33" s="204"/>
      <c r="J33" s="204"/>
    </row>
    <row r="34" spans="1:12" ht="20.25" thickBot="1" x14ac:dyDescent="0.4">
      <c r="A34" s="247" t="s">
        <v>356</v>
      </c>
      <c r="B34" s="245"/>
      <c r="C34" s="248">
        <f>SUM(C33,C23)</f>
        <v>3881987</v>
      </c>
      <c r="D34" s="248">
        <f>SUM(D33,D23)</f>
        <v>3210549</v>
      </c>
      <c r="E34" s="248">
        <f t="shared" ref="E34:F34" si="12">SUM(E33,E23)</f>
        <v>3170352.9382662755</v>
      </c>
      <c r="F34" s="248">
        <f t="shared" si="12"/>
        <v>2239875.9562662751</v>
      </c>
      <c r="G34" s="204"/>
      <c r="H34" s="204"/>
      <c r="I34" s="204"/>
      <c r="J34" s="204"/>
    </row>
    <row r="36" spans="1:12" x14ac:dyDescent="0.25">
      <c r="E36" s="649">
        <f>E34-'2.Bevételek_részletes'!X48</f>
        <v>0</v>
      </c>
      <c r="F36" s="649">
        <f>F34-'2.Bevételek_részletes'!AC48</f>
        <v>0</v>
      </c>
      <c r="I36" s="202">
        <v>3396848</v>
      </c>
      <c r="K36" s="649">
        <f>K30-'2.Kiadások_részletes '!X35</f>
        <v>0</v>
      </c>
      <c r="L36" s="649">
        <f>L30-'2.Kiadások_részletes '!AC35</f>
        <v>0</v>
      </c>
    </row>
    <row r="37" spans="1:12" x14ac:dyDescent="0.25">
      <c r="C37" s="649"/>
      <c r="I37" s="649">
        <f>I30-I36</f>
        <v>0</v>
      </c>
    </row>
    <row r="38" spans="1:12" x14ac:dyDescent="0.25">
      <c r="I38" s="649">
        <f>D34-J30</f>
        <v>444463</v>
      </c>
    </row>
  </sheetData>
  <mergeCells count="4">
    <mergeCell ref="A1:M1"/>
    <mergeCell ref="A2:M2"/>
    <mergeCell ref="A3:M3"/>
    <mergeCell ref="A4:M4"/>
  </mergeCells>
  <printOptions horizontalCentered="1"/>
  <pageMargins left="0.25" right="0.25" top="0.75" bottom="0.75" header="0.3" footer="0.3"/>
  <pageSetup paperSize="8" scale="4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Munka3">
    <tabColor rgb="FFFF0000"/>
    <pageSetUpPr fitToPage="1"/>
  </sheetPr>
  <dimension ref="A1:AH74"/>
  <sheetViews>
    <sheetView view="pageBreakPreview" zoomScale="50" zoomScaleNormal="100" zoomScaleSheetLayoutView="50" workbookViewId="0">
      <pane xSplit="2" ySplit="7" topLeftCell="F8" activePane="bottomRight" state="frozen"/>
      <selection activeCell="A2" sqref="A2:E2"/>
      <selection pane="topRight" activeCell="A2" sqref="A2:E2"/>
      <selection pane="bottomLeft" activeCell="A2" sqref="A2:E2"/>
      <selection pane="bottomRight" activeCell="A2" sqref="A2:E2"/>
    </sheetView>
  </sheetViews>
  <sheetFormatPr defaultRowHeight="18.75" x14ac:dyDescent="0.3"/>
  <cols>
    <col min="1" max="1" width="10.28515625" style="254" bestFit="1" customWidth="1"/>
    <col min="2" max="2" width="55" style="254" customWidth="1"/>
    <col min="3" max="3" width="18.42578125" style="254" hidden="1" customWidth="1"/>
    <col min="4" max="4" width="20.7109375" style="254" customWidth="1"/>
    <col min="5" max="5" width="21.5703125" style="254" customWidth="1"/>
    <col min="6" max="6" width="23" style="254" customWidth="1"/>
    <col min="7" max="7" width="16.5703125" style="254" customWidth="1"/>
    <col min="8" max="8" width="7" style="254" hidden="1" customWidth="1"/>
    <col min="9" max="9" width="20.140625" style="254" customWidth="1"/>
    <col min="10" max="10" width="20.85546875" style="254" customWidth="1"/>
    <col min="11" max="11" width="21.28515625" style="254" customWidth="1"/>
    <col min="12" max="12" width="17.28515625" style="254" bestFit="1" customWidth="1"/>
    <col min="13" max="13" width="8.7109375" style="254" hidden="1" customWidth="1"/>
    <col min="14" max="14" width="19.28515625" style="254" customWidth="1"/>
    <col min="15" max="15" width="21.85546875" style="254" customWidth="1"/>
    <col min="16" max="16" width="20.7109375" style="254" customWidth="1"/>
    <col min="17" max="17" width="16.42578125" style="254" customWidth="1"/>
    <col min="18" max="18" width="8.140625" style="254" hidden="1" customWidth="1"/>
    <col min="19" max="22" width="17.42578125" style="254" customWidth="1"/>
    <col min="23" max="23" width="6.5703125" style="254" hidden="1" customWidth="1"/>
    <col min="24" max="26" width="20.42578125" style="254" customWidth="1"/>
    <col min="27" max="27" width="17.140625" style="254" customWidth="1"/>
    <col min="28" max="28" width="3.42578125" style="254" hidden="1" customWidth="1"/>
    <col min="29" max="30" width="21" style="254" customWidth="1"/>
    <col min="31" max="31" width="19" style="254" customWidth="1"/>
    <col min="32" max="32" width="14.7109375" style="254" customWidth="1"/>
    <col min="33" max="33" width="9.7109375" style="254" bestFit="1" customWidth="1"/>
    <col min="34" max="34" width="11.7109375" style="254" bestFit="1" customWidth="1"/>
    <col min="35" max="16384" width="9.140625" style="254"/>
  </cols>
  <sheetData>
    <row r="1" spans="1:34" ht="23.25" x14ac:dyDescent="0.35">
      <c r="A1" s="2404" t="str">
        <f>Tartalomjegyzék_2017!A1</f>
        <v>Pilisvörösvár Város Önkormányzata Képviselő-testületének 7/2018. (IV. 27.) önkormányzati rendelete</v>
      </c>
      <c r="B1" s="2404"/>
      <c r="C1" s="2404"/>
      <c r="D1" s="2404"/>
      <c r="E1" s="2404"/>
      <c r="F1" s="2404"/>
      <c r="G1" s="2404"/>
      <c r="H1" s="2404"/>
      <c r="I1" s="2404"/>
      <c r="J1" s="2404"/>
      <c r="K1" s="2404"/>
      <c r="L1" s="2404"/>
      <c r="M1" s="2405"/>
      <c r="N1" s="2405"/>
      <c r="O1" s="2405"/>
      <c r="P1" s="2405"/>
      <c r="Q1" s="2405"/>
      <c r="R1" s="2405"/>
      <c r="S1" s="2405"/>
      <c r="T1" s="2405"/>
      <c r="U1" s="2405"/>
      <c r="V1" s="2405"/>
      <c r="W1" s="2406"/>
      <c r="X1" s="2406"/>
      <c r="Y1" s="2406"/>
      <c r="Z1" s="2406"/>
      <c r="AA1" s="2406"/>
      <c r="AB1" s="2406"/>
      <c r="AC1" s="2406"/>
      <c r="AD1" s="2406"/>
      <c r="AE1" s="2406"/>
      <c r="AF1" s="2406"/>
    </row>
    <row r="2" spans="1:34" ht="21" customHeight="1" x14ac:dyDescent="0.35">
      <c r="A2" s="2404" t="str">
        <f>Tartalomjegyzék_2017!A2</f>
        <v>az Önkormányzat  2017. évi zárszámadásáról</v>
      </c>
      <c r="B2" s="2404"/>
      <c r="C2" s="2404"/>
      <c r="D2" s="2404"/>
      <c r="E2" s="2404"/>
      <c r="F2" s="2404"/>
      <c r="G2" s="2404"/>
      <c r="H2" s="2404"/>
      <c r="I2" s="2404"/>
      <c r="J2" s="2404"/>
      <c r="K2" s="2404"/>
      <c r="L2" s="2404"/>
      <c r="M2" s="2405"/>
      <c r="N2" s="2405"/>
      <c r="O2" s="2405"/>
      <c r="P2" s="2405"/>
      <c r="Q2" s="2405"/>
      <c r="R2" s="2405"/>
      <c r="S2" s="2405"/>
      <c r="T2" s="2405"/>
      <c r="U2" s="2405"/>
      <c r="V2" s="2405"/>
      <c r="W2" s="2406"/>
      <c r="X2" s="2406"/>
      <c r="Y2" s="2406"/>
      <c r="Z2" s="2406"/>
      <c r="AA2" s="2406"/>
      <c r="AB2" s="2406"/>
      <c r="AC2" s="2406"/>
      <c r="AD2" s="2406"/>
      <c r="AE2" s="2406"/>
      <c r="AF2" s="2406"/>
    </row>
    <row r="3" spans="1:34" ht="21" customHeight="1" x14ac:dyDescent="0.35">
      <c r="A3" s="2404" t="str">
        <f>Tartalomjegyzék_2017!B8</f>
        <v xml:space="preserve">Pilisvörösvár Város Önkormányzat működési és felhalmozási célú bevételek részletes bemutatása </v>
      </c>
      <c r="B3" s="2404"/>
      <c r="C3" s="2404"/>
      <c r="D3" s="2404"/>
      <c r="E3" s="2404"/>
      <c r="F3" s="2404"/>
      <c r="G3" s="2404"/>
      <c r="H3" s="2404"/>
      <c r="I3" s="2404"/>
      <c r="J3" s="2404"/>
      <c r="K3" s="2404"/>
      <c r="L3" s="2404"/>
      <c r="M3" s="2405"/>
      <c r="N3" s="2405"/>
      <c r="O3" s="2405"/>
      <c r="P3" s="2405"/>
      <c r="Q3" s="2405"/>
      <c r="R3" s="2405"/>
      <c r="S3" s="2405"/>
      <c r="T3" s="2405"/>
      <c r="U3" s="2405"/>
      <c r="V3" s="2405"/>
      <c r="W3" s="2406"/>
      <c r="X3" s="2406"/>
      <c r="Y3" s="2406"/>
      <c r="Z3" s="2406"/>
      <c r="AA3" s="2406"/>
      <c r="AB3" s="2406"/>
      <c r="AC3" s="2406"/>
      <c r="AD3" s="2406"/>
      <c r="AE3" s="2406"/>
      <c r="AF3" s="2406"/>
    </row>
    <row r="4" spans="1:34" ht="20.100000000000001" customHeight="1" x14ac:dyDescent="0.3">
      <c r="A4" s="592"/>
      <c r="B4" s="592"/>
      <c r="C4" s="592"/>
      <c r="D4" s="592"/>
      <c r="E4" s="608"/>
      <c r="F4" s="608"/>
      <c r="G4" s="608"/>
      <c r="H4" s="592"/>
      <c r="I4" s="592"/>
      <c r="J4" s="608"/>
      <c r="K4" s="608"/>
      <c r="L4" s="608"/>
      <c r="M4" s="593"/>
      <c r="N4" s="593"/>
      <c r="O4" s="593"/>
      <c r="P4" s="593"/>
      <c r="Q4" s="593"/>
      <c r="R4" s="593"/>
      <c r="S4" s="593"/>
      <c r="T4" s="593"/>
      <c r="U4" s="593"/>
      <c r="V4" s="593"/>
      <c r="W4" s="591"/>
      <c r="X4" s="591"/>
      <c r="Y4" s="876"/>
      <c r="Z4" s="1043"/>
      <c r="AA4" s="1043"/>
      <c r="AB4" s="591"/>
      <c r="AE4" s="851"/>
      <c r="AF4" s="1342" t="s">
        <v>10</v>
      </c>
    </row>
    <row r="5" spans="1:34" ht="24" thickBot="1" x14ac:dyDescent="0.4">
      <c r="A5" s="250"/>
      <c r="B5" s="250"/>
      <c r="C5" s="250"/>
      <c r="D5" s="588"/>
      <c r="E5" s="608"/>
      <c r="F5" s="608"/>
      <c r="G5" s="608"/>
      <c r="H5" s="250"/>
      <c r="I5" s="588"/>
      <c r="J5" s="608"/>
      <c r="K5" s="608"/>
      <c r="L5" s="608"/>
      <c r="M5" s="250"/>
      <c r="N5" s="588"/>
      <c r="O5" s="608"/>
      <c r="P5" s="608"/>
      <c r="Q5" s="608"/>
      <c r="R5" s="250"/>
      <c r="S5" s="588"/>
      <c r="T5" s="608"/>
      <c r="U5" s="608"/>
      <c r="V5" s="608"/>
      <c r="AE5" s="262"/>
      <c r="AF5" s="1343" t="s">
        <v>323</v>
      </c>
    </row>
    <row r="6" spans="1:34" s="1625" customFormat="1" ht="28.5" customHeight="1" thickBot="1" x14ac:dyDescent="0.25">
      <c r="A6" s="1623"/>
      <c r="B6" s="1624"/>
      <c r="C6" s="1302"/>
      <c r="D6" s="2407" t="s">
        <v>1131</v>
      </c>
      <c r="E6" s="2408"/>
      <c r="F6" s="2408"/>
      <c r="G6" s="2408"/>
      <c r="H6" s="1302"/>
      <c r="I6" s="2407" t="s">
        <v>1132</v>
      </c>
      <c r="J6" s="2408"/>
      <c r="K6" s="2408"/>
      <c r="L6" s="2408"/>
      <c r="M6" s="1302"/>
      <c r="N6" s="2407" t="s">
        <v>1133</v>
      </c>
      <c r="O6" s="2408"/>
      <c r="P6" s="2408"/>
      <c r="Q6" s="2408"/>
      <c r="R6" s="1302"/>
      <c r="S6" s="2407" t="s">
        <v>1179</v>
      </c>
      <c r="T6" s="2408"/>
      <c r="U6" s="2408"/>
      <c r="V6" s="2408"/>
      <c r="W6" s="1302"/>
      <c r="X6" s="2407" t="s">
        <v>1134</v>
      </c>
      <c r="Y6" s="2408"/>
      <c r="Z6" s="2408"/>
      <c r="AA6" s="2408"/>
      <c r="AB6" s="1302"/>
      <c r="AC6" s="2407" t="s">
        <v>1135</v>
      </c>
      <c r="AD6" s="2408"/>
      <c r="AE6" s="2408"/>
      <c r="AF6" s="2408"/>
    </row>
    <row r="7" spans="1:34" s="1634" customFormat="1" ht="126" customHeight="1" x14ac:dyDescent="0.2">
      <c r="A7" s="1626" t="s">
        <v>364</v>
      </c>
      <c r="B7" s="1627" t="s">
        <v>359</v>
      </c>
      <c r="C7" s="1628" t="s">
        <v>632</v>
      </c>
      <c r="D7" s="1629" t="s">
        <v>881</v>
      </c>
      <c r="E7" s="1630" t="s">
        <v>1054</v>
      </c>
      <c r="F7" s="1630" t="s">
        <v>1088</v>
      </c>
      <c r="G7" s="1631" t="s">
        <v>1084</v>
      </c>
      <c r="H7" s="1632" t="s">
        <v>633</v>
      </c>
      <c r="I7" s="1629" t="s">
        <v>882</v>
      </c>
      <c r="J7" s="1630" t="s">
        <v>1055</v>
      </c>
      <c r="K7" s="1630" t="s">
        <v>1089</v>
      </c>
      <c r="L7" s="1631" t="s">
        <v>1084</v>
      </c>
      <c r="M7" s="1632" t="s">
        <v>634</v>
      </c>
      <c r="N7" s="1629" t="s">
        <v>883</v>
      </c>
      <c r="O7" s="1630" t="s">
        <v>1056</v>
      </c>
      <c r="P7" s="1630" t="s">
        <v>1090</v>
      </c>
      <c r="Q7" s="1631" t="s">
        <v>1084</v>
      </c>
      <c r="R7" s="1632" t="s">
        <v>635</v>
      </c>
      <c r="S7" s="1629" t="s">
        <v>884</v>
      </c>
      <c r="T7" s="1630" t="s">
        <v>1057</v>
      </c>
      <c r="U7" s="1630" t="s">
        <v>1091</v>
      </c>
      <c r="V7" s="1631" t="s">
        <v>1084</v>
      </c>
      <c r="W7" s="1632" t="s">
        <v>636</v>
      </c>
      <c r="X7" s="1629" t="s">
        <v>885</v>
      </c>
      <c r="Y7" s="1630" t="s">
        <v>1058</v>
      </c>
      <c r="Z7" s="1630" t="s">
        <v>1092</v>
      </c>
      <c r="AA7" s="1631" t="s">
        <v>1084</v>
      </c>
      <c r="AB7" s="1632" t="s">
        <v>637</v>
      </c>
      <c r="AC7" s="1629" t="s">
        <v>886</v>
      </c>
      <c r="AD7" s="1630" t="s">
        <v>1059</v>
      </c>
      <c r="AE7" s="1630" t="s">
        <v>1093</v>
      </c>
      <c r="AF7" s="1631" t="s">
        <v>1084</v>
      </c>
      <c r="AG7" s="1633"/>
      <c r="AH7" s="1633"/>
    </row>
    <row r="8" spans="1:34" ht="23.25" x14ac:dyDescent="0.35">
      <c r="A8" s="1614" t="s">
        <v>374</v>
      </c>
      <c r="B8" s="1446" t="s">
        <v>373</v>
      </c>
      <c r="C8" s="878">
        <f>'12. Támogatási bevételek (B (2)'!C13</f>
        <v>589260</v>
      </c>
      <c r="D8" s="1059">
        <f>'12. Támogatási bevételek (B (2)'!D13</f>
        <v>604691.75923127495</v>
      </c>
      <c r="E8" s="766">
        <f>'12. Támogatási bevételek (B (2)'!E13</f>
        <v>643772.75923127495</v>
      </c>
      <c r="F8" s="766">
        <f>'12. Támogatási bevételek (B (2)'!F13</f>
        <v>652379</v>
      </c>
      <c r="G8" s="1277">
        <f>F8/E8%</f>
        <v>101.3368445069036</v>
      </c>
      <c r="H8" s="1061">
        <f>'12. Támogatási bevételek (B (2)'!H13</f>
        <v>0</v>
      </c>
      <c r="I8" s="1059">
        <f>'12. Támogatási bevételek (B (2)'!I13</f>
        <v>0</v>
      </c>
      <c r="J8" s="766">
        <f>'12. Támogatási bevételek (B (2)'!J13</f>
        <v>0</v>
      </c>
      <c r="K8" s="766">
        <f>'12. Támogatási bevételek (B (2)'!K13</f>
        <v>0</v>
      </c>
      <c r="L8" s="998"/>
      <c r="M8" s="1061">
        <v>0</v>
      </c>
      <c r="N8" s="1059">
        <v>0</v>
      </c>
      <c r="O8" s="766">
        <v>0</v>
      </c>
      <c r="P8" s="766">
        <v>0</v>
      </c>
      <c r="Q8" s="1277"/>
      <c r="R8" s="1061">
        <v>0</v>
      </c>
      <c r="S8" s="1059">
        <v>0</v>
      </c>
      <c r="T8" s="766">
        <v>0</v>
      </c>
      <c r="U8" s="766">
        <v>0</v>
      </c>
      <c r="V8" s="998"/>
      <c r="W8" s="1061">
        <v>2</v>
      </c>
      <c r="X8" s="1059">
        <f t="shared" ref="X8:Z9" si="0">D8+I8+N8+S8</f>
        <v>604691.75923127495</v>
      </c>
      <c r="Y8" s="766">
        <f t="shared" si="0"/>
        <v>643772.75923127495</v>
      </c>
      <c r="Z8" s="766">
        <f t="shared" si="0"/>
        <v>652379</v>
      </c>
      <c r="AA8" s="1277">
        <f t="shared" ref="AA8:AA17" si="1">Z8/Y8%</f>
        <v>101.3368445069036</v>
      </c>
      <c r="AB8" s="1061">
        <f t="shared" ref="AB8:AE9" si="2">C8+H8+M8+R8</f>
        <v>589260</v>
      </c>
      <c r="AC8" s="1059">
        <f t="shared" si="2"/>
        <v>604691.75923127495</v>
      </c>
      <c r="AD8" s="766">
        <f t="shared" si="2"/>
        <v>643772.75923127495</v>
      </c>
      <c r="AE8" s="766">
        <f t="shared" si="2"/>
        <v>652379</v>
      </c>
      <c r="AF8" s="1707">
        <f t="shared" ref="AF8:AF17" si="3">AE8/AD8%</f>
        <v>101.3368445069036</v>
      </c>
      <c r="AG8" s="256"/>
    </row>
    <row r="9" spans="1:34" ht="40.5" x14ac:dyDescent="0.35">
      <c r="A9" s="1614" t="s">
        <v>376</v>
      </c>
      <c r="B9" s="1446" t="s">
        <v>375</v>
      </c>
      <c r="C9" s="878">
        <f>'12. Támogatási bevételek (B (2)'!C18</f>
        <v>19528</v>
      </c>
      <c r="D9" s="1059">
        <f>'12. Támogatási bevételek (B (2)'!D18</f>
        <v>13205.942675</v>
      </c>
      <c r="E9" s="766">
        <f>'12. Támogatási bevételek (B (2)'!E18</f>
        <v>32245.942674999998</v>
      </c>
      <c r="F9" s="766">
        <f>'12. Támogatási bevételek (B (2)'!F18</f>
        <v>29954</v>
      </c>
      <c r="G9" s="1277">
        <f t="shared" ref="G9:G48" si="4">F9/E9%</f>
        <v>92.892306799339067</v>
      </c>
      <c r="H9" s="1061">
        <f>'12. Támogatási bevételek (B (2)'!H18</f>
        <v>0</v>
      </c>
      <c r="I9" s="1059">
        <f>'12. Támogatási bevételek (B (2)'!I18</f>
        <v>0</v>
      </c>
      <c r="J9" s="766">
        <f>'12. Támogatási bevételek (B (2)'!J18</f>
        <v>0</v>
      </c>
      <c r="K9" s="766">
        <f>'12. Támogatási bevételek (B (2)'!K18</f>
        <v>518</v>
      </c>
      <c r="L9" s="998"/>
      <c r="M9" s="1061">
        <f>'12. Támogatási bevételek (B (2)'!M18</f>
        <v>256000</v>
      </c>
      <c r="N9" s="1059">
        <v>262500</v>
      </c>
      <c r="O9" s="766">
        <f>262500+8000+26267</f>
        <v>296767</v>
      </c>
      <c r="P9" s="766">
        <f>'12. Támogatási bevételek (B (2)'!P17</f>
        <v>301227</v>
      </c>
      <c r="Q9" s="1277">
        <f>P9/O9%</f>
        <v>101.50286251503705</v>
      </c>
      <c r="R9" s="1061">
        <f>'3. Gesz költségvetés'!AB10</f>
        <v>82</v>
      </c>
      <c r="S9" s="1059">
        <f>'3. Gesz költségvetés'!AC10</f>
        <v>0</v>
      </c>
      <c r="T9" s="766">
        <f>'3. Gesz költségvetés'!AD10</f>
        <v>152</v>
      </c>
      <c r="U9" s="766">
        <f>'3. Gesz költségvetés'!AE10</f>
        <v>152</v>
      </c>
      <c r="V9" s="1277">
        <f>U9/T9%</f>
        <v>100</v>
      </c>
      <c r="W9" s="1061">
        <f>'3. Gesz költségvetés'!AG10</f>
        <v>0</v>
      </c>
      <c r="X9" s="1059">
        <f t="shared" si="0"/>
        <v>275705.942675</v>
      </c>
      <c r="Y9" s="766">
        <f t="shared" si="0"/>
        <v>329164.942675</v>
      </c>
      <c r="Z9" s="766">
        <f t="shared" si="0"/>
        <v>331851</v>
      </c>
      <c r="AA9" s="1277">
        <f t="shared" si="1"/>
        <v>100.81602168905698</v>
      </c>
      <c r="AB9" s="1061">
        <f t="shared" si="2"/>
        <v>275610</v>
      </c>
      <c r="AC9" s="1059">
        <f t="shared" si="2"/>
        <v>275705.942675</v>
      </c>
      <c r="AD9" s="766">
        <f t="shared" si="2"/>
        <v>329164.942675</v>
      </c>
      <c r="AE9" s="766">
        <f t="shared" si="2"/>
        <v>331851</v>
      </c>
      <c r="AF9" s="1707">
        <f t="shared" si="3"/>
        <v>100.81602168905698</v>
      </c>
      <c r="AG9" s="256"/>
    </row>
    <row r="10" spans="1:34" ht="40.5" x14ac:dyDescent="0.3">
      <c r="A10" s="1615" t="s">
        <v>378</v>
      </c>
      <c r="B10" s="1616" t="s">
        <v>377</v>
      </c>
      <c r="C10" s="879">
        <f>SUM(C8:C9)</f>
        <v>608788</v>
      </c>
      <c r="D10" s="1278">
        <f>SUM(D8:D9)</f>
        <v>617897.701906275</v>
      </c>
      <c r="E10" s="1279">
        <f>SUM(E8:E9)</f>
        <v>676018.701906275</v>
      </c>
      <c r="F10" s="1279">
        <f>SUM(F8:F9)</f>
        <v>682333</v>
      </c>
      <c r="G10" s="1280">
        <f t="shared" si="4"/>
        <v>100.93404192456801</v>
      </c>
      <c r="H10" s="1281">
        <f>SUM(H8:H9)</f>
        <v>0</v>
      </c>
      <c r="I10" s="1278">
        <f t="shared" ref="I10:R10" si="5">SUM(I8:I9)</f>
        <v>0</v>
      </c>
      <c r="J10" s="1279">
        <f t="shared" ref="J10:K10" si="6">SUM(J8:J9)</f>
        <v>0</v>
      </c>
      <c r="K10" s="1279">
        <f t="shared" si="6"/>
        <v>518</v>
      </c>
      <c r="L10" s="1282"/>
      <c r="M10" s="1281">
        <f t="shared" si="5"/>
        <v>256000</v>
      </c>
      <c r="N10" s="1278">
        <f t="shared" si="5"/>
        <v>262500</v>
      </c>
      <c r="O10" s="1279">
        <f t="shared" ref="O10:P10" si="7">SUM(O8:O9)</f>
        <v>296767</v>
      </c>
      <c r="P10" s="1279">
        <f t="shared" si="7"/>
        <v>301227</v>
      </c>
      <c r="Q10" s="1280">
        <f t="shared" ref="Q10:Q48" si="8">P10/O10%</f>
        <v>101.50286251503705</v>
      </c>
      <c r="R10" s="1281">
        <f t="shared" si="5"/>
        <v>82</v>
      </c>
      <c r="S10" s="1278">
        <f t="shared" ref="S10:W10" si="9">SUM(S8:S9)</f>
        <v>0</v>
      </c>
      <c r="T10" s="1279">
        <f t="shared" si="9"/>
        <v>152</v>
      </c>
      <c r="U10" s="1279">
        <f t="shared" ref="U10" si="10">SUM(U8:U9)</f>
        <v>152</v>
      </c>
      <c r="V10" s="1280">
        <f>U10/T10%</f>
        <v>100</v>
      </c>
      <c r="W10" s="1281">
        <f t="shared" si="9"/>
        <v>2</v>
      </c>
      <c r="X10" s="1278">
        <f t="shared" ref="X10:Y10" si="11">SUM(X8:X9)</f>
        <v>880397.701906275</v>
      </c>
      <c r="Y10" s="1279">
        <f t="shared" si="11"/>
        <v>972937.701906275</v>
      </c>
      <c r="Z10" s="1279">
        <f t="shared" ref="Z10" si="12">SUM(Z8:Z9)</f>
        <v>984230</v>
      </c>
      <c r="AA10" s="1280">
        <f t="shared" si="1"/>
        <v>101.16063937820481</v>
      </c>
      <c r="AB10" s="1281">
        <f>SUM(AB8:AB9)</f>
        <v>864870</v>
      </c>
      <c r="AC10" s="1278">
        <f>SUM(AC8:AC9)</f>
        <v>880397.701906275</v>
      </c>
      <c r="AD10" s="1279">
        <f>SUM(AD8:AD9)</f>
        <v>972937.701906275</v>
      </c>
      <c r="AE10" s="1279">
        <f>SUM(AE8:AE9)</f>
        <v>984230</v>
      </c>
      <c r="AF10" s="1305">
        <f t="shared" si="3"/>
        <v>101.16063937820481</v>
      </c>
      <c r="AG10" s="256"/>
    </row>
    <row r="11" spans="1:34" ht="60.75" x14ac:dyDescent="0.35">
      <c r="A11" s="1614" t="s">
        <v>1548</v>
      </c>
      <c r="B11" s="1617" t="s">
        <v>1549</v>
      </c>
      <c r="C11" s="878"/>
      <c r="D11" s="1059">
        <f>'12. Támogatási bevételek (B (2)'!D20</f>
        <v>0</v>
      </c>
      <c r="E11" s="766">
        <f>'12. Támogatási bevételek (B (2)'!E20</f>
        <v>5931</v>
      </c>
      <c r="F11" s="766">
        <f>'12. Támogatási bevételek (B (2)'!F20</f>
        <v>5931</v>
      </c>
      <c r="G11" s="1277">
        <f t="shared" ref="G11" si="13">F11/E11%</f>
        <v>100</v>
      </c>
      <c r="H11" s="1061">
        <f>'12. Támogatási bevételek (B (2)'!H22</f>
        <v>0</v>
      </c>
      <c r="I11" s="1059">
        <f>'12. Támogatási bevételek (B (2)'!I20</f>
        <v>0</v>
      </c>
      <c r="J11" s="766">
        <f>'12. Támogatási bevételek (B (2)'!J20</f>
        <v>0</v>
      </c>
      <c r="K11" s="766">
        <f>'12. Támogatási bevételek (B (2)'!K20</f>
        <v>0</v>
      </c>
      <c r="L11" s="1277">
        <v>0</v>
      </c>
      <c r="M11" s="1061"/>
      <c r="N11" s="1059">
        <f>'12. Támogatási bevételek (B (2)'!N20</f>
        <v>0</v>
      </c>
      <c r="O11" s="766">
        <f>'12. Támogatási bevételek (B (2)'!O20</f>
        <v>0</v>
      </c>
      <c r="P11" s="766">
        <f>'12. Támogatási bevételek (B (2)'!P20</f>
        <v>0</v>
      </c>
      <c r="Q11" s="1277">
        <v>0</v>
      </c>
      <c r="R11" s="1061">
        <f>'12. Támogatási bevételek (B (2)'!W22</f>
        <v>0</v>
      </c>
      <c r="S11" s="1059">
        <f>'12. Támogatási bevételek (B (2)'!S20</f>
        <v>0</v>
      </c>
      <c r="T11" s="766">
        <f>'12. Támogatási bevételek (B (2)'!T20</f>
        <v>0</v>
      </c>
      <c r="U11" s="766">
        <f>'12. Támogatási bevételek (B (2)'!U20</f>
        <v>0</v>
      </c>
      <c r="V11" s="998"/>
      <c r="W11" s="1061">
        <f>'12. Támogatási bevételek (B (2)'!AB22</f>
        <v>0</v>
      </c>
      <c r="X11" s="1059">
        <f t="shared" ref="X11:Z12" si="14">D11+I11+N11+S11</f>
        <v>0</v>
      </c>
      <c r="Y11" s="766">
        <f t="shared" si="14"/>
        <v>5931</v>
      </c>
      <c r="Z11" s="766">
        <f t="shared" si="14"/>
        <v>5931</v>
      </c>
      <c r="AA11" s="1277">
        <f t="shared" ref="AA11" si="15">Z11/Y11%</f>
        <v>100</v>
      </c>
      <c r="AB11" s="1061">
        <f>C11+H11+M11+R11</f>
        <v>0</v>
      </c>
      <c r="AC11" s="1059">
        <f>'12. Támogatási bevételek (B (2)'!AC20</f>
        <v>0</v>
      </c>
      <c r="AD11" s="766">
        <f>'12. Támogatási bevételek (B (2)'!AD20</f>
        <v>5931</v>
      </c>
      <c r="AE11" s="766">
        <f>'12. Támogatási bevételek (B (2)'!AE20</f>
        <v>5931</v>
      </c>
      <c r="AF11" s="1707">
        <f t="shared" ref="AF11" si="16">AE11/AD11%</f>
        <v>100</v>
      </c>
      <c r="AG11" s="256"/>
    </row>
    <row r="12" spans="1:34" ht="40.5" x14ac:dyDescent="0.35">
      <c r="A12" s="1614" t="s">
        <v>380</v>
      </c>
      <c r="B12" s="1617" t="s">
        <v>379</v>
      </c>
      <c r="C12" s="878">
        <f>'12. Támogatási bevételek (B (2)'!C23</f>
        <v>0</v>
      </c>
      <c r="D12" s="1059">
        <f>'12. Támogatási bevételek (B (2)'!D21+'12. Támogatási bevételek (B (2)'!D22</f>
        <v>0</v>
      </c>
      <c r="E12" s="766">
        <f>'12. Támogatási bevételek (B (2)'!E21+'12. Támogatási bevételek (B (2)'!E22</f>
        <v>115846</v>
      </c>
      <c r="F12" s="766">
        <f>'12. Támogatási bevételek (B (2)'!F21+'12. Támogatási bevételek (B (2)'!F22</f>
        <v>115846</v>
      </c>
      <c r="G12" s="1277">
        <f t="shared" si="4"/>
        <v>100</v>
      </c>
      <c r="H12" s="1061">
        <f>'12. Támogatási bevételek (B (2)'!H23</f>
        <v>0</v>
      </c>
      <c r="I12" s="1059">
        <f>'12. Támogatási bevételek (B (2)'!I21+'12. Támogatási bevételek (B (2)'!I22</f>
        <v>0</v>
      </c>
      <c r="J12" s="766">
        <f>'12. Támogatási bevételek (B (2)'!J21+'12. Támogatási bevételek (B (2)'!J22</f>
        <v>0</v>
      </c>
      <c r="K12" s="766">
        <f>'12. Támogatási bevételek (B (2)'!K21+'12. Támogatási bevételek (B (2)'!K22</f>
        <v>0</v>
      </c>
      <c r="L12" s="1277">
        <v>0</v>
      </c>
      <c r="M12" s="1061"/>
      <c r="N12" s="1059">
        <f>'12. Támogatási bevételek (B (2)'!N21+'12. Támogatási bevételek (B (2)'!N22</f>
        <v>0</v>
      </c>
      <c r="O12" s="766">
        <f>'12. Támogatási bevételek (B (2)'!O21+'12. Támogatási bevételek (B (2)'!O22</f>
        <v>2620</v>
      </c>
      <c r="P12" s="766">
        <f>'12. Támogatási bevételek (B (2)'!P21+'12. Támogatási bevételek (B (2)'!P22</f>
        <v>2620</v>
      </c>
      <c r="Q12" s="1277">
        <f t="shared" si="8"/>
        <v>100</v>
      </c>
      <c r="R12" s="1061">
        <f>'12. Támogatási bevételek (B (2)'!W23</f>
        <v>0</v>
      </c>
      <c r="S12" s="1059">
        <f>'12. Támogatási bevételek (B (2)'!S21+'12. Támogatási bevételek (B (2)'!S22</f>
        <v>0</v>
      </c>
      <c r="T12" s="766">
        <f>'12. Támogatási bevételek (B (2)'!T21+'12. Támogatási bevételek (B (2)'!T22</f>
        <v>0</v>
      </c>
      <c r="U12" s="766">
        <f>'12. Támogatási bevételek (B (2)'!U21+'12. Támogatási bevételek (B (2)'!U22</f>
        <v>0</v>
      </c>
      <c r="V12" s="998"/>
      <c r="W12" s="1061">
        <f>'12. Támogatási bevételek (B (2)'!AB23</f>
        <v>0</v>
      </c>
      <c r="X12" s="1059">
        <f t="shared" si="14"/>
        <v>0</v>
      </c>
      <c r="Y12" s="766">
        <f t="shared" si="14"/>
        <v>118466</v>
      </c>
      <c r="Z12" s="766">
        <f t="shared" si="14"/>
        <v>118466</v>
      </c>
      <c r="AA12" s="1277">
        <f t="shared" si="1"/>
        <v>100</v>
      </c>
      <c r="AB12" s="1061">
        <f>C12+H12+M12+R12</f>
        <v>0</v>
      </c>
      <c r="AC12" s="1059">
        <f>'12. Támogatási bevételek (B (2)'!AC21+'12. Támogatási bevételek (B (2)'!AC22</f>
        <v>0</v>
      </c>
      <c r="AD12" s="766">
        <f>'12. Támogatási bevételek (B (2)'!AD21+'12. Támogatási bevételek (B (2)'!AD22</f>
        <v>118466</v>
      </c>
      <c r="AE12" s="766">
        <f>'12. Támogatási bevételek (B (2)'!AE21+'12. Támogatási bevételek (B (2)'!AE22</f>
        <v>118466</v>
      </c>
      <c r="AF12" s="1707">
        <f t="shared" si="3"/>
        <v>100</v>
      </c>
      <c r="AG12" s="256"/>
    </row>
    <row r="13" spans="1:34" ht="40.5" x14ac:dyDescent="0.3">
      <c r="A13" s="1615" t="s">
        <v>382</v>
      </c>
      <c r="B13" s="1616" t="s">
        <v>381</v>
      </c>
      <c r="C13" s="879">
        <f>SUM(C12)</f>
        <v>0</v>
      </c>
      <c r="D13" s="1278">
        <f>SUM(D11:D12)</f>
        <v>0</v>
      </c>
      <c r="E13" s="1279">
        <f t="shared" ref="E13:F13" si="17">SUM(E11:E12)</f>
        <v>121777</v>
      </c>
      <c r="F13" s="1279">
        <f t="shared" si="17"/>
        <v>121777</v>
      </c>
      <c r="G13" s="1280">
        <f t="shared" si="4"/>
        <v>100</v>
      </c>
      <c r="H13" s="1281">
        <f t="shared" ref="H13:AB13" si="18">SUM(H12)</f>
        <v>0</v>
      </c>
      <c r="I13" s="1278">
        <f>SUM(I11:I12)</f>
        <v>0</v>
      </c>
      <c r="J13" s="1279">
        <f t="shared" ref="J13" si="19">SUM(J11:J12)</f>
        <v>0</v>
      </c>
      <c r="K13" s="1279">
        <f t="shared" ref="K13" si="20">SUM(K11:K12)</f>
        <v>0</v>
      </c>
      <c r="L13" s="1280">
        <v>0</v>
      </c>
      <c r="M13" s="1281">
        <f t="shared" si="18"/>
        <v>0</v>
      </c>
      <c r="N13" s="1278">
        <f>SUM(N11:N12)</f>
        <v>0</v>
      </c>
      <c r="O13" s="1279">
        <f t="shared" ref="O13" si="21">SUM(O11:O12)</f>
        <v>2620</v>
      </c>
      <c r="P13" s="1279">
        <f t="shared" ref="P13" si="22">SUM(P11:P12)</f>
        <v>2620</v>
      </c>
      <c r="Q13" s="1280">
        <v>0</v>
      </c>
      <c r="R13" s="1281">
        <f t="shared" si="18"/>
        <v>0</v>
      </c>
      <c r="S13" s="1278">
        <f>SUM(S11:S12)</f>
        <v>0</v>
      </c>
      <c r="T13" s="1279">
        <f t="shared" ref="T13" si="23">SUM(T11:T12)</f>
        <v>0</v>
      </c>
      <c r="U13" s="1279">
        <f t="shared" ref="U13" si="24">SUM(U11:U12)</f>
        <v>0</v>
      </c>
      <c r="V13" s="1280">
        <v>0</v>
      </c>
      <c r="W13" s="1281">
        <f t="shared" ref="W13" si="25">SUM(W12)</f>
        <v>0</v>
      </c>
      <c r="X13" s="1278">
        <f>SUM(X11:X12)</f>
        <v>0</v>
      </c>
      <c r="Y13" s="1279">
        <f t="shared" ref="Y13" si="26">SUM(Y11:Y12)</f>
        <v>124397</v>
      </c>
      <c r="Z13" s="1279">
        <f t="shared" ref="Z13" si="27">SUM(Z11:Z12)</f>
        <v>124397</v>
      </c>
      <c r="AA13" s="1280">
        <v>0</v>
      </c>
      <c r="AB13" s="1281">
        <f t="shared" si="18"/>
        <v>0</v>
      </c>
      <c r="AC13" s="1278">
        <f>SUM(AC11:AC12)</f>
        <v>0</v>
      </c>
      <c r="AD13" s="1279">
        <f t="shared" ref="AD13" si="28">SUM(AD11:AD12)</f>
        <v>124397</v>
      </c>
      <c r="AE13" s="1279">
        <f t="shared" ref="AE13" si="29">SUM(AE11:AE12)</f>
        <v>124397</v>
      </c>
      <c r="AF13" s="1280">
        <v>0</v>
      </c>
      <c r="AG13" s="256"/>
    </row>
    <row r="14" spans="1:34" ht="40.5" x14ac:dyDescent="0.35">
      <c r="A14" s="1614" t="s">
        <v>146</v>
      </c>
      <c r="B14" s="1617" t="s">
        <v>157</v>
      </c>
      <c r="C14" s="878">
        <f>'13. Működési bev. (B3,B4)'!D10</f>
        <v>85000</v>
      </c>
      <c r="D14" s="1059">
        <f>'13. Működési bev. (B3,B4)'!E10</f>
        <v>86000</v>
      </c>
      <c r="E14" s="766">
        <f>'13. Működési bev. (B3,B4)'!F10</f>
        <v>86000</v>
      </c>
      <c r="F14" s="766">
        <f>'13. Működési bev. (B3,B4)'!G10</f>
        <v>85049</v>
      </c>
      <c r="G14" s="1277">
        <f t="shared" si="4"/>
        <v>98.894186046511635</v>
      </c>
      <c r="H14" s="1061">
        <f>'13. Működési bev. (B3,B4)'!I10</f>
        <v>0</v>
      </c>
      <c r="I14" s="1059">
        <f>'13. Működési bev. (B3,B4)'!J10</f>
        <v>0</v>
      </c>
      <c r="J14" s="766">
        <f>'13. Működési bev. (B3,B4)'!K10</f>
        <v>0</v>
      </c>
      <c r="K14" s="766">
        <f>'13. Működési bev. (B3,B4)'!L10</f>
        <v>0</v>
      </c>
      <c r="L14" s="998"/>
      <c r="M14" s="1061"/>
      <c r="N14" s="1059"/>
      <c r="O14" s="766"/>
      <c r="P14" s="766"/>
      <c r="Q14" s="1277"/>
      <c r="R14" s="1061"/>
      <c r="S14" s="1059"/>
      <c r="T14" s="766"/>
      <c r="U14" s="766"/>
      <c r="V14" s="998"/>
      <c r="W14" s="1061"/>
      <c r="X14" s="1059">
        <f t="shared" ref="X14:Z16" si="30">D14+I14+N14+S14</f>
        <v>86000</v>
      </c>
      <c r="Y14" s="766">
        <f t="shared" si="30"/>
        <v>86000</v>
      </c>
      <c r="Z14" s="766">
        <f t="shared" si="30"/>
        <v>85049</v>
      </c>
      <c r="AA14" s="1277">
        <f t="shared" si="1"/>
        <v>98.894186046511635</v>
      </c>
      <c r="AB14" s="1061">
        <f t="shared" ref="AB14:AE16" si="31">C14+H14+M14+R14</f>
        <v>85000</v>
      </c>
      <c r="AC14" s="1059">
        <f t="shared" si="31"/>
        <v>86000</v>
      </c>
      <c r="AD14" s="766">
        <f t="shared" si="31"/>
        <v>86000</v>
      </c>
      <c r="AE14" s="766">
        <f t="shared" si="31"/>
        <v>85049</v>
      </c>
      <c r="AF14" s="1707">
        <f t="shared" si="3"/>
        <v>98.894186046511635</v>
      </c>
      <c r="AG14" s="256"/>
    </row>
    <row r="15" spans="1:34" ht="40.5" x14ac:dyDescent="0.35">
      <c r="A15" s="1323" t="s">
        <v>103</v>
      </c>
      <c r="B15" s="1446" t="s">
        <v>156</v>
      </c>
      <c r="C15" s="878">
        <f>'13. Működési bev. (B3,B4)'!D15</f>
        <v>529000</v>
      </c>
      <c r="D15" s="1059">
        <f>'13. Működési bev. (B3,B4)'!E15</f>
        <v>540500</v>
      </c>
      <c r="E15" s="766">
        <f>'13. Működési bev. (B3,B4)'!F15</f>
        <v>540400</v>
      </c>
      <c r="F15" s="766">
        <f>'13. Működési bev. (B3,B4)'!G15</f>
        <v>606459</v>
      </c>
      <c r="G15" s="1277">
        <f t="shared" si="4"/>
        <v>112.22409326424871</v>
      </c>
      <c r="H15" s="1061">
        <f>'13. Működési bev. (B3,B4)'!I15</f>
        <v>0</v>
      </c>
      <c r="I15" s="1059">
        <f>'13. Működési bev. (B3,B4)'!J15</f>
        <v>0</v>
      </c>
      <c r="J15" s="766">
        <f>'13. Működési bev. (B3,B4)'!K15</f>
        <v>0</v>
      </c>
      <c r="K15" s="766">
        <f>'13. Működési bev. (B3,B4)'!L15</f>
        <v>0</v>
      </c>
      <c r="L15" s="998"/>
      <c r="M15" s="1061"/>
      <c r="N15" s="1059"/>
      <c r="O15" s="766"/>
      <c r="P15" s="766"/>
      <c r="Q15" s="1277"/>
      <c r="R15" s="1061"/>
      <c r="S15" s="1059"/>
      <c r="T15" s="766"/>
      <c r="U15" s="766"/>
      <c r="V15" s="998"/>
      <c r="W15" s="1061"/>
      <c r="X15" s="1059">
        <f t="shared" si="30"/>
        <v>540500</v>
      </c>
      <c r="Y15" s="766">
        <f t="shared" si="30"/>
        <v>540400</v>
      </c>
      <c r="Z15" s="766">
        <f t="shared" si="30"/>
        <v>606459</v>
      </c>
      <c r="AA15" s="1277">
        <f t="shared" si="1"/>
        <v>112.22409326424871</v>
      </c>
      <c r="AB15" s="1061">
        <f t="shared" si="31"/>
        <v>529000</v>
      </c>
      <c r="AC15" s="1059">
        <f t="shared" si="31"/>
        <v>540500</v>
      </c>
      <c r="AD15" s="766">
        <f t="shared" si="31"/>
        <v>540400</v>
      </c>
      <c r="AE15" s="766">
        <f t="shared" si="31"/>
        <v>606459</v>
      </c>
      <c r="AF15" s="1707">
        <f t="shared" si="3"/>
        <v>112.22409326424871</v>
      </c>
      <c r="AG15" s="256"/>
    </row>
    <row r="16" spans="1:34" ht="60.75" x14ac:dyDescent="0.35">
      <c r="A16" s="1323" t="s">
        <v>385</v>
      </c>
      <c r="B16" s="1446" t="s">
        <v>40</v>
      </c>
      <c r="C16" s="878">
        <f>'13. Működési bev. (B3,B4)'!D20</f>
        <v>5000</v>
      </c>
      <c r="D16" s="1059">
        <f>'13. Működési bev. (B3,B4)'!E20</f>
        <v>5000</v>
      </c>
      <c r="E16" s="766">
        <f>'13. Működési bev. (B3,B4)'!F20</f>
        <v>5100</v>
      </c>
      <c r="F16" s="766">
        <f>'13. Működési bev. (B3,B4)'!G20</f>
        <v>3534</v>
      </c>
      <c r="G16" s="1277">
        <f t="shared" si="4"/>
        <v>69.294117647058826</v>
      </c>
      <c r="H16" s="1061">
        <f>'13. Működési bev. (B3,B4)'!I20</f>
        <v>900</v>
      </c>
      <c r="I16" s="1059">
        <f>'13. Működési bev. (B3,B4)'!J20</f>
        <v>700</v>
      </c>
      <c r="J16" s="766">
        <f>'13. Működési bev. (B3,B4)'!K20</f>
        <v>145</v>
      </c>
      <c r="K16" s="766">
        <f>'13. Működési bev. (B3,B4)'!L20</f>
        <v>788</v>
      </c>
      <c r="L16" s="1277">
        <f>K16/J16%</f>
        <v>543.44827586206895</v>
      </c>
      <c r="M16" s="1061"/>
      <c r="N16" s="1059"/>
      <c r="O16" s="766"/>
      <c r="P16" s="766"/>
      <c r="Q16" s="1277"/>
      <c r="R16" s="1061"/>
      <c r="S16" s="1059"/>
      <c r="T16" s="766"/>
      <c r="U16" s="766"/>
      <c r="V16" s="998"/>
      <c r="W16" s="1061"/>
      <c r="X16" s="1059">
        <f t="shared" si="30"/>
        <v>5700</v>
      </c>
      <c r="Y16" s="766">
        <f t="shared" si="30"/>
        <v>5245</v>
      </c>
      <c r="Z16" s="766">
        <f t="shared" si="30"/>
        <v>4322</v>
      </c>
      <c r="AA16" s="1277">
        <f t="shared" si="1"/>
        <v>82.402287893231644</v>
      </c>
      <c r="AB16" s="1061">
        <f t="shared" si="31"/>
        <v>5900</v>
      </c>
      <c r="AC16" s="1059">
        <f t="shared" si="31"/>
        <v>5700</v>
      </c>
      <c r="AD16" s="766">
        <f t="shared" si="31"/>
        <v>5245</v>
      </c>
      <c r="AE16" s="766">
        <f t="shared" si="31"/>
        <v>4322</v>
      </c>
      <c r="AF16" s="1707">
        <f t="shared" si="3"/>
        <v>82.402287893231644</v>
      </c>
      <c r="AG16" s="256"/>
    </row>
    <row r="17" spans="1:33" ht="22.5" x14ac:dyDescent="0.3">
      <c r="A17" s="1615" t="s">
        <v>387</v>
      </c>
      <c r="B17" s="1616" t="s">
        <v>386</v>
      </c>
      <c r="C17" s="879">
        <f t="shared" ref="C17:J17" si="32">SUM(C14:C16)</f>
        <v>619000</v>
      </c>
      <c r="D17" s="1278">
        <f t="shared" si="32"/>
        <v>631500</v>
      </c>
      <c r="E17" s="1279">
        <f t="shared" si="32"/>
        <v>631500</v>
      </c>
      <c r="F17" s="1279">
        <f t="shared" ref="F17" si="33">SUM(F14:F16)</f>
        <v>695042</v>
      </c>
      <c r="G17" s="1280">
        <f t="shared" si="4"/>
        <v>110.06207442596991</v>
      </c>
      <c r="H17" s="1281">
        <f t="shared" si="32"/>
        <v>900</v>
      </c>
      <c r="I17" s="1278">
        <f t="shared" si="32"/>
        <v>700</v>
      </c>
      <c r="J17" s="1279">
        <f t="shared" si="32"/>
        <v>145</v>
      </c>
      <c r="K17" s="1279">
        <f t="shared" ref="K17" si="34">SUM(K14:K16)</f>
        <v>788</v>
      </c>
      <c r="L17" s="1280">
        <f t="shared" ref="L17:L25" si="35">K17/J17%</f>
        <v>543.44827586206895</v>
      </c>
      <c r="M17" s="1281">
        <f t="shared" ref="M17:N17" si="36">SUM(M14:M16)</f>
        <v>0</v>
      </c>
      <c r="N17" s="1278">
        <f t="shared" si="36"/>
        <v>0</v>
      </c>
      <c r="O17" s="1279">
        <f t="shared" ref="O17:P17" si="37">SUM(O14:O16)</f>
        <v>0</v>
      </c>
      <c r="P17" s="1279">
        <f t="shared" si="37"/>
        <v>0</v>
      </c>
      <c r="Q17" s="1280"/>
      <c r="R17" s="1281">
        <f t="shared" ref="R17:AC17" si="38">SUM(R14:R16)</f>
        <v>0</v>
      </c>
      <c r="S17" s="1278">
        <f t="shared" ref="S17:W17" si="39">SUM(S14:S16)</f>
        <v>0</v>
      </c>
      <c r="T17" s="1279">
        <f t="shared" si="39"/>
        <v>0</v>
      </c>
      <c r="U17" s="1279">
        <f t="shared" ref="U17" si="40">SUM(U14:U16)</f>
        <v>0</v>
      </c>
      <c r="V17" s="1282"/>
      <c r="W17" s="1281">
        <f t="shared" si="39"/>
        <v>0</v>
      </c>
      <c r="X17" s="1278">
        <f t="shared" si="38"/>
        <v>632200</v>
      </c>
      <c r="Y17" s="1279">
        <f t="shared" ref="Y17:Z17" si="41">SUM(Y14:Y16)</f>
        <v>631645</v>
      </c>
      <c r="Z17" s="1279">
        <f t="shared" si="41"/>
        <v>695830</v>
      </c>
      <c r="AA17" s="1280">
        <f t="shared" si="1"/>
        <v>110.16156226994593</v>
      </c>
      <c r="AB17" s="1281">
        <f t="shared" si="38"/>
        <v>619900</v>
      </c>
      <c r="AC17" s="1278">
        <f t="shared" si="38"/>
        <v>632200</v>
      </c>
      <c r="AD17" s="1279">
        <f t="shared" ref="AD17:AE17" si="42">SUM(AD14:AD16)</f>
        <v>631645</v>
      </c>
      <c r="AE17" s="1279">
        <f t="shared" si="42"/>
        <v>695830</v>
      </c>
      <c r="AF17" s="1305">
        <f t="shared" si="3"/>
        <v>110.16156226994593</v>
      </c>
      <c r="AG17" s="256"/>
    </row>
    <row r="18" spans="1:33" ht="23.25" x14ac:dyDescent="0.35">
      <c r="A18" s="1323" t="s">
        <v>389</v>
      </c>
      <c r="B18" s="1275" t="s">
        <v>388</v>
      </c>
      <c r="C18" s="890">
        <f>'13. Működési bev. (B3,B4)'!D25</f>
        <v>438</v>
      </c>
      <c r="D18" s="1059">
        <f>'13. Működési bev. (B3,B4)'!E25</f>
        <v>3171.9520000000002</v>
      </c>
      <c r="E18" s="766">
        <f>'13. Működési bev. (B3,B4)'!F25</f>
        <v>2962.9520000000002</v>
      </c>
      <c r="F18" s="766">
        <f>'13. Működési bev. (B3,B4)'!G25</f>
        <v>2778.1</v>
      </c>
      <c r="G18" s="1277">
        <f t="shared" si="4"/>
        <v>93.76122191652108</v>
      </c>
      <c r="H18" s="1283">
        <f>'13. Működési bev. (B3,B4)'!I25</f>
        <v>0</v>
      </c>
      <c r="I18" s="1059">
        <f>'13. Működési bev. (B3,B4)'!J25</f>
        <v>3570</v>
      </c>
      <c r="J18" s="766">
        <f>'13. Működési bev. (B3,B4)'!K25</f>
        <v>3570</v>
      </c>
      <c r="K18" s="766">
        <f>'13. Működési bev. (B3,B4)'!L25</f>
        <v>3608.8500000000004</v>
      </c>
      <c r="L18" s="1277">
        <f t="shared" si="35"/>
        <v>101.08823529411765</v>
      </c>
      <c r="M18" s="1283"/>
      <c r="N18" s="1059"/>
      <c r="O18" s="766"/>
      <c r="P18" s="766">
        <v>5</v>
      </c>
      <c r="Q18" s="1277"/>
      <c r="R18" s="1283">
        <f>'3. Gesz költségvetés'!AB14</f>
        <v>9388</v>
      </c>
      <c r="S18" s="1059">
        <f>'3. Gesz költségvetés'!AC14</f>
        <v>5374</v>
      </c>
      <c r="T18" s="766">
        <f>'3. Gesz költségvetés'!AD14</f>
        <v>6452</v>
      </c>
      <c r="U18" s="766">
        <f>'3. Gesz költségvetés'!AE14</f>
        <v>6499</v>
      </c>
      <c r="V18" s="1277">
        <f>U18/T18%</f>
        <v>100.72845629262245</v>
      </c>
      <c r="W18" s="1061">
        <f>'3. Gesz költségvetés'!AG14</f>
        <v>0</v>
      </c>
      <c r="X18" s="1059">
        <f t="shared" ref="X18:Z25" si="43">D18+I18+N18+S18</f>
        <v>12115.952000000001</v>
      </c>
      <c r="Y18" s="766">
        <f t="shared" si="43"/>
        <v>12984.952000000001</v>
      </c>
      <c r="Z18" s="766">
        <f t="shared" si="43"/>
        <v>12890.95</v>
      </c>
      <c r="AA18" s="1277">
        <f t="shared" ref="AA18:AA48" si="44">Z18/Y18%</f>
        <v>99.276069715159508</v>
      </c>
      <c r="AB18" s="1283">
        <f t="shared" ref="AB18:AE25" si="45">C18+H18+M18+R18</f>
        <v>9826</v>
      </c>
      <c r="AC18" s="1059">
        <f t="shared" si="45"/>
        <v>12115.952000000001</v>
      </c>
      <c r="AD18" s="766">
        <f t="shared" si="45"/>
        <v>12984.952000000001</v>
      </c>
      <c r="AE18" s="766">
        <f t="shared" si="45"/>
        <v>12890.95</v>
      </c>
      <c r="AF18" s="1707">
        <f t="shared" ref="AF18:AF44" si="46">AE18/AD18%</f>
        <v>99.276069715159508</v>
      </c>
      <c r="AG18" s="256"/>
    </row>
    <row r="19" spans="1:33" ht="23.25" x14ac:dyDescent="0.35">
      <c r="A19" s="1323" t="s">
        <v>391</v>
      </c>
      <c r="B19" s="1275" t="s">
        <v>390</v>
      </c>
      <c r="C19" s="878">
        <f>'13. Működési bev. (B3,B4)'!D35</f>
        <v>127033.917</v>
      </c>
      <c r="D19" s="1059">
        <f>'13. Működési bev. (B3,B4)'!E35</f>
        <v>49721.802360000001</v>
      </c>
      <c r="E19" s="766">
        <f>'13. Működési bev. (B3,B4)'!F35</f>
        <v>48930.802360000001</v>
      </c>
      <c r="F19" s="766">
        <f>'13. Működési bev. (B3,B4)'!G35</f>
        <v>50906</v>
      </c>
      <c r="G19" s="1277">
        <f t="shared" si="4"/>
        <v>104.03671622931465</v>
      </c>
      <c r="H19" s="1061">
        <f>'13. Működési bev. (B3,B4)'!I35</f>
        <v>0</v>
      </c>
      <c r="I19" s="1059">
        <f>'13. Működési bev. (B3,B4)'!J35</f>
        <v>73063.173999999999</v>
      </c>
      <c r="J19" s="766">
        <f>'13. Működési bev. (B3,B4)'!K35</f>
        <v>79096.173999999999</v>
      </c>
      <c r="K19" s="766">
        <f>'13. Működési bev. (B3,B4)'!L35</f>
        <v>80761.982000000004</v>
      </c>
      <c r="L19" s="1277">
        <f t="shared" si="35"/>
        <v>102.10605382758465</v>
      </c>
      <c r="M19" s="1061">
        <f>20+2900+1500+1100+30</f>
        <v>5550</v>
      </c>
      <c r="N19" s="1059">
        <f>20+2500+1200</f>
        <v>3720</v>
      </c>
      <c r="O19" s="766">
        <f>20+2500+1200</f>
        <v>3720</v>
      </c>
      <c r="P19" s="766">
        <v>3586</v>
      </c>
      <c r="Q19" s="1277">
        <f t="shared" si="8"/>
        <v>96.397849462365585</v>
      </c>
      <c r="R19" s="1061">
        <f>'3. Gesz költségvetés'!AB20</f>
        <v>32902</v>
      </c>
      <c r="S19" s="1059">
        <f>'3. Gesz költségvetés'!AC20</f>
        <v>19650</v>
      </c>
      <c r="T19" s="766">
        <f>'3. Gesz költségvetés'!AD20</f>
        <v>21104</v>
      </c>
      <c r="U19" s="766">
        <f>'3. Gesz költségvetés'!AE20</f>
        <v>23510</v>
      </c>
      <c r="V19" s="1277">
        <f t="shared" ref="V19" si="47">U19/T19%</f>
        <v>111.40068233510236</v>
      </c>
      <c r="W19" s="1061">
        <f>'3. Gesz költségvetés'!AG20</f>
        <v>0</v>
      </c>
      <c r="X19" s="1059">
        <f t="shared" si="43"/>
        <v>146154.97636</v>
      </c>
      <c r="Y19" s="766">
        <f t="shared" si="43"/>
        <v>152850.97636</v>
      </c>
      <c r="Z19" s="766">
        <f t="shared" si="43"/>
        <v>158763.98200000002</v>
      </c>
      <c r="AA19" s="1277">
        <f t="shared" si="44"/>
        <v>103.86847750718549</v>
      </c>
      <c r="AB19" s="1061">
        <f t="shared" si="45"/>
        <v>165485.91700000002</v>
      </c>
      <c r="AC19" s="1059">
        <f t="shared" si="45"/>
        <v>146154.97636</v>
      </c>
      <c r="AD19" s="766">
        <f t="shared" si="45"/>
        <v>152850.97636</v>
      </c>
      <c r="AE19" s="766">
        <f t="shared" si="45"/>
        <v>158763.98200000002</v>
      </c>
      <c r="AF19" s="1707">
        <f t="shared" si="46"/>
        <v>103.86847750718549</v>
      </c>
      <c r="AG19" s="256"/>
    </row>
    <row r="20" spans="1:33" ht="23.25" x14ac:dyDescent="0.35">
      <c r="A20" s="1323" t="s">
        <v>393</v>
      </c>
      <c r="B20" s="1275" t="s">
        <v>392</v>
      </c>
      <c r="C20" s="878">
        <f>'13. Működési bev. (B3,B4)'!D36</f>
        <v>5000</v>
      </c>
      <c r="D20" s="1059">
        <f>'13. Működési bev. (B3,B4)'!E36</f>
        <v>7530</v>
      </c>
      <c r="E20" s="766">
        <f>'13. Működési bev. (B3,B4)'!F36</f>
        <v>13904</v>
      </c>
      <c r="F20" s="766">
        <f>'13. Működési bev. (B3,B4)'!G36</f>
        <v>16062</v>
      </c>
      <c r="G20" s="1277">
        <f t="shared" si="4"/>
        <v>115.52071346375145</v>
      </c>
      <c r="H20" s="1061">
        <f>'13. Működési bev. (B3,B4)'!I36</f>
        <v>450</v>
      </c>
      <c r="I20" s="1059">
        <f>'13. Működési bev. (B3,B4)'!J36</f>
        <v>1700</v>
      </c>
      <c r="J20" s="766">
        <f>'13. Működési bev. (B3,B4)'!K36</f>
        <v>1700</v>
      </c>
      <c r="K20" s="766">
        <f>'13. Működési bev. (B3,B4)'!L36</f>
        <v>1163</v>
      </c>
      <c r="L20" s="1277">
        <f t="shared" si="35"/>
        <v>68.411764705882348</v>
      </c>
      <c r="M20" s="1061"/>
      <c r="N20" s="1059">
        <v>1700</v>
      </c>
      <c r="O20" s="766">
        <v>1700</v>
      </c>
      <c r="P20" s="1148">
        <v>1781</v>
      </c>
      <c r="Q20" s="1277">
        <f t="shared" si="8"/>
        <v>104.76470588235294</v>
      </c>
      <c r="R20" s="1061"/>
      <c r="S20" s="1059"/>
      <c r="T20" s="766"/>
      <c r="U20" s="766"/>
      <c r="V20" s="1277"/>
      <c r="W20" s="1061"/>
      <c r="X20" s="1059">
        <f t="shared" si="43"/>
        <v>10930</v>
      </c>
      <c r="Y20" s="766">
        <f t="shared" si="43"/>
        <v>17304</v>
      </c>
      <c r="Z20" s="766">
        <f t="shared" si="43"/>
        <v>19006</v>
      </c>
      <c r="AA20" s="1277">
        <f t="shared" si="44"/>
        <v>109.83587609801202</v>
      </c>
      <c r="AB20" s="1061">
        <f t="shared" si="45"/>
        <v>5450</v>
      </c>
      <c r="AC20" s="1059">
        <f t="shared" si="45"/>
        <v>10930</v>
      </c>
      <c r="AD20" s="766">
        <f t="shared" si="45"/>
        <v>17304</v>
      </c>
      <c r="AE20" s="766">
        <f t="shared" si="45"/>
        <v>19006</v>
      </c>
      <c r="AF20" s="1707">
        <f t="shared" si="46"/>
        <v>109.83587609801202</v>
      </c>
      <c r="AG20" s="256"/>
    </row>
    <row r="21" spans="1:33" ht="23.25" x14ac:dyDescent="0.35">
      <c r="A21" s="1323" t="s">
        <v>395</v>
      </c>
      <c r="B21" s="1275" t="s">
        <v>394</v>
      </c>
      <c r="C21" s="878">
        <f>'13. Működési bev. (B3,B4)'!D41</f>
        <v>83479</v>
      </c>
      <c r="D21" s="1059">
        <f>'13. Működési bev. (B3,B4)'!E41</f>
        <v>83056.126000000004</v>
      </c>
      <c r="E21" s="766">
        <f>'13. Működési bev. (B3,B4)'!F41</f>
        <v>86570.126000000004</v>
      </c>
      <c r="F21" s="766">
        <f>'13. Működési bev. (B3,B4)'!G41</f>
        <v>14896</v>
      </c>
      <c r="G21" s="1277">
        <f t="shared" si="4"/>
        <v>17.206859557995791</v>
      </c>
      <c r="H21" s="1061">
        <f>'13. Működési bev. (B3,B4)'!I41</f>
        <v>0</v>
      </c>
      <c r="I21" s="1059">
        <f>'13. Működési bev. (B3,B4)'!J41</f>
        <v>0</v>
      </c>
      <c r="J21" s="766">
        <f>'13. Működési bev. (B3,B4)'!K41</f>
        <v>0</v>
      </c>
      <c r="K21" s="766">
        <f>'13. Működési bev. (B3,B4)'!L41</f>
        <v>0</v>
      </c>
      <c r="L21" s="1277"/>
      <c r="M21" s="1061">
        <f>3200</f>
        <v>3200</v>
      </c>
      <c r="N21" s="1059"/>
      <c r="O21" s="766"/>
      <c r="P21" s="766"/>
      <c r="Q21" s="1277"/>
      <c r="R21" s="1061"/>
      <c r="S21" s="1059"/>
      <c r="T21" s="766"/>
      <c r="U21" s="766"/>
      <c r="V21" s="1277"/>
      <c r="W21" s="1061"/>
      <c r="X21" s="1059">
        <f t="shared" si="43"/>
        <v>83056.126000000004</v>
      </c>
      <c r="Y21" s="766">
        <f t="shared" si="43"/>
        <v>86570.126000000004</v>
      </c>
      <c r="Z21" s="766">
        <f t="shared" si="43"/>
        <v>14896</v>
      </c>
      <c r="AA21" s="1277">
        <f t="shared" si="44"/>
        <v>17.206859557995791</v>
      </c>
      <c r="AB21" s="1061">
        <f t="shared" si="45"/>
        <v>86679</v>
      </c>
      <c r="AC21" s="1059">
        <f t="shared" si="45"/>
        <v>83056.126000000004</v>
      </c>
      <c r="AD21" s="766">
        <f t="shared" si="45"/>
        <v>86570.126000000004</v>
      </c>
      <c r="AE21" s="766">
        <f t="shared" si="45"/>
        <v>14896</v>
      </c>
      <c r="AF21" s="1707">
        <f t="shared" si="46"/>
        <v>17.206859557995791</v>
      </c>
      <c r="AG21" s="256"/>
    </row>
    <row r="22" spans="1:33" ht="23.25" x14ac:dyDescent="0.35">
      <c r="A22" s="1323" t="s">
        <v>397</v>
      </c>
      <c r="B22" s="1275" t="s">
        <v>396</v>
      </c>
      <c r="C22" s="878">
        <f>'13. Működési bev. (B3,B4)'!D45</f>
        <v>41132.964999999997</v>
      </c>
      <c r="D22" s="1059">
        <f>'13. Működési bev. (B3,B4)'!E45</f>
        <v>0</v>
      </c>
      <c r="E22" s="766">
        <f>'13. Működési bev. (B3,B4)'!F45</f>
        <v>0</v>
      </c>
      <c r="F22" s="766">
        <f>'13. Működési bev. (B3,B4)'!G45</f>
        <v>0</v>
      </c>
      <c r="G22" s="1277"/>
      <c r="H22" s="1061">
        <f>'13. Működési bev. (B3,B4)'!I45</f>
        <v>0</v>
      </c>
      <c r="I22" s="1059">
        <f>'13. Működési bev. (B3,B4)'!J45</f>
        <v>39325.200000000004</v>
      </c>
      <c r="J22" s="766">
        <f>'13. Működési bev. (B3,B4)'!K45</f>
        <v>29404.2</v>
      </c>
      <c r="K22" s="766">
        <f>'13. Működési bev. (B3,B4)'!L45</f>
        <v>22877</v>
      </c>
      <c r="L22" s="1277">
        <f t="shared" si="35"/>
        <v>77.801810625692923</v>
      </c>
      <c r="M22" s="1061"/>
      <c r="N22" s="1059">
        <v>3120</v>
      </c>
      <c r="O22" s="766">
        <f>3120+355+195-2</f>
        <v>3668</v>
      </c>
      <c r="P22" s="766">
        <v>4595</v>
      </c>
      <c r="Q22" s="1277">
        <f t="shared" si="8"/>
        <v>125.27262813522356</v>
      </c>
      <c r="R22" s="1061">
        <f>'3. Gesz költségvetés'!AB21</f>
        <v>2266</v>
      </c>
      <c r="S22" s="1059">
        <f>'3. Gesz költségvetés'!AC21</f>
        <v>2512</v>
      </c>
      <c r="T22" s="766">
        <f>'3. Gesz költségvetés'!AD21</f>
        <v>2878</v>
      </c>
      <c r="U22" s="766">
        <f>'3. Gesz költségvetés'!AE21</f>
        <v>2878</v>
      </c>
      <c r="V22" s="1277">
        <f>U22/T22%</f>
        <v>100</v>
      </c>
      <c r="W22" s="1061">
        <f>'3. Gesz költségvetés'!AG21</f>
        <v>0</v>
      </c>
      <c r="X22" s="1059">
        <f t="shared" si="43"/>
        <v>44957.200000000004</v>
      </c>
      <c r="Y22" s="766">
        <f t="shared" si="43"/>
        <v>35950.199999999997</v>
      </c>
      <c r="Z22" s="766">
        <f t="shared" si="43"/>
        <v>30350</v>
      </c>
      <c r="AA22" s="1277">
        <f t="shared" ref="AA22:AA27" si="48">Z22/Y22%</f>
        <v>84.422339792268204</v>
      </c>
      <c r="AB22" s="1061">
        <f t="shared" si="45"/>
        <v>43398.964999999997</v>
      </c>
      <c r="AC22" s="1059">
        <f t="shared" si="45"/>
        <v>44957.200000000004</v>
      </c>
      <c r="AD22" s="766">
        <f t="shared" si="45"/>
        <v>35950.199999999997</v>
      </c>
      <c r="AE22" s="766">
        <f t="shared" si="45"/>
        <v>30350</v>
      </c>
      <c r="AF22" s="1707">
        <f t="shared" ref="AF22:AF27" si="49">AE22/AD22%</f>
        <v>84.422339792268204</v>
      </c>
      <c r="AG22" s="256"/>
    </row>
    <row r="23" spans="1:33" ht="23.25" x14ac:dyDescent="0.35">
      <c r="A23" s="1323" t="s">
        <v>399</v>
      </c>
      <c r="B23" s="1275" t="s">
        <v>398</v>
      </c>
      <c r="C23" s="878">
        <f>'13. Működési bev. (B3,B4)'!D47</f>
        <v>0</v>
      </c>
      <c r="D23" s="1059">
        <f>'13. Működési bev. (B3,B4)'!E47</f>
        <v>0</v>
      </c>
      <c r="E23" s="766">
        <f>'13. Működési bev. (B3,B4)'!F47</f>
        <v>4536</v>
      </c>
      <c r="F23" s="766">
        <f>'13. Működési bev. (B3,B4)'!G47</f>
        <v>5287</v>
      </c>
      <c r="G23" s="1277">
        <f t="shared" si="4"/>
        <v>116.55643738977072</v>
      </c>
      <c r="H23" s="1061">
        <f>'13. Működési bev. (B3,B4)'!I47</f>
        <v>0</v>
      </c>
      <c r="I23" s="1059">
        <f>'13. Működési bev. (B3,B4)'!J47</f>
        <v>0</v>
      </c>
      <c r="J23" s="766">
        <f>'13. Működési bev. (B3,B4)'!K47</f>
        <v>17436</v>
      </c>
      <c r="K23" s="766">
        <f>'13. Működési bev. (B3,B4)'!L47</f>
        <v>9369</v>
      </c>
      <c r="L23" s="1277">
        <f t="shared" si="35"/>
        <v>53.733654507914657</v>
      </c>
      <c r="M23" s="1061"/>
      <c r="N23" s="1059"/>
      <c r="O23" s="766"/>
      <c r="P23" s="766"/>
      <c r="Q23" s="1277"/>
      <c r="R23" s="1061"/>
      <c r="S23" s="1059"/>
      <c r="T23" s="766"/>
      <c r="U23" s="766"/>
      <c r="V23" s="1277"/>
      <c r="W23" s="1061"/>
      <c r="X23" s="1059">
        <f t="shared" si="43"/>
        <v>0</v>
      </c>
      <c r="Y23" s="766">
        <f t="shared" si="43"/>
        <v>21972</v>
      </c>
      <c r="Z23" s="766">
        <f t="shared" si="43"/>
        <v>14656</v>
      </c>
      <c r="AA23" s="1277">
        <f t="shared" si="48"/>
        <v>66.703076643000188</v>
      </c>
      <c r="AB23" s="1061">
        <f t="shared" si="45"/>
        <v>0</v>
      </c>
      <c r="AC23" s="1059">
        <f t="shared" si="45"/>
        <v>0</v>
      </c>
      <c r="AD23" s="766">
        <f t="shared" si="45"/>
        <v>21972</v>
      </c>
      <c r="AE23" s="766">
        <f t="shared" si="45"/>
        <v>14656</v>
      </c>
      <c r="AF23" s="1707">
        <f t="shared" si="49"/>
        <v>66.703076643000188</v>
      </c>
      <c r="AG23" s="256"/>
    </row>
    <row r="24" spans="1:33" ht="23.25" x14ac:dyDescent="0.35">
      <c r="A24" s="1323" t="s">
        <v>401</v>
      </c>
      <c r="B24" s="1275" t="s">
        <v>400</v>
      </c>
      <c r="C24" s="878">
        <f>'13. Működési bev. (B3,B4)'!D50</f>
        <v>5500</v>
      </c>
      <c r="D24" s="1059">
        <f>'13. Működési bev. (B3,B4)'!E50</f>
        <v>3500</v>
      </c>
      <c r="E24" s="766">
        <f>'13. Működési bev. (B3,B4)'!F50</f>
        <v>3500</v>
      </c>
      <c r="F24" s="766">
        <f>'13. Működési bev. (B3,B4)'!G50</f>
        <v>2853</v>
      </c>
      <c r="G24" s="1277">
        <f t="shared" si="4"/>
        <v>81.51428571428572</v>
      </c>
      <c r="H24" s="1061">
        <f>'13. Működési bev. (B3,B4)'!I50</f>
        <v>0</v>
      </c>
      <c r="I24" s="1059">
        <f>'13. Működési bev. (B3,B4)'!J50</f>
        <v>0</v>
      </c>
      <c r="J24" s="766">
        <f>'13. Működési bev. (B3,B4)'!K50</f>
        <v>0</v>
      </c>
      <c r="K24" s="766">
        <f>'13. Működési bev. (B3,B4)'!L50</f>
        <v>0</v>
      </c>
      <c r="L24" s="1277"/>
      <c r="M24" s="1061"/>
      <c r="N24" s="1059">
        <v>10</v>
      </c>
      <c r="O24" s="766">
        <v>0</v>
      </c>
      <c r="P24" s="766"/>
      <c r="Q24" s="1277"/>
      <c r="R24" s="1061">
        <f>'3. Gesz költségvetés'!AB22</f>
        <v>0</v>
      </c>
      <c r="S24" s="1059">
        <f>'3. Gesz költségvetés'!AC22</f>
        <v>0</v>
      </c>
      <c r="T24" s="766">
        <f>'3. Gesz költségvetés'!AD22</f>
        <v>0</v>
      </c>
      <c r="U24" s="766">
        <f>'3. Gesz költségvetés'!AE22</f>
        <v>0</v>
      </c>
      <c r="V24" s="1277"/>
      <c r="W24" s="1061">
        <f>'3. Gesz költségvetés'!AG22</f>
        <v>0</v>
      </c>
      <c r="X24" s="1059">
        <f t="shared" si="43"/>
        <v>3510</v>
      </c>
      <c r="Y24" s="766">
        <f t="shared" si="43"/>
        <v>3500</v>
      </c>
      <c r="Z24" s="766">
        <f t="shared" si="43"/>
        <v>2853</v>
      </c>
      <c r="AA24" s="1277">
        <f t="shared" si="48"/>
        <v>81.51428571428572</v>
      </c>
      <c r="AB24" s="1061">
        <f t="shared" si="45"/>
        <v>5500</v>
      </c>
      <c r="AC24" s="1059">
        <f t="shared" si="45"/>
        <v>3510</v>
      </c>
      <c r="AD24" s="766">
        <f t="shared" si="45"/>
        <v>3500</v>
      </c>
      <c r="AE24" s="766">
        <f t="shared" si="45"/>
        <v>2853</v>
      </c>
      <c r="AF24" s="1707">
        <f t="shared" si="49"/>
        <v>81.51428571428572</v>
      </c>
      <c r="AG24" s="256"/>
    </row>
    <row r="25" spans="1:33" ht="23.25" x14ac:dyDescent="0.35">
      <c r="A25" s="1323" t="s">
        <v>874</v>
      </c>
      <c r="B25" s="1275" t="s">
        <v>1</v>
      </c>
      <c r="C25" s="878"/>
      <c r="D25" s="1059">
        <f>'13. Működési bev. (B3,B4)'!E51</f>
        <v>0</v>
      </c>
      <c r="E25" s="766">
        <f>'13. Működési bev. (B3,B4)'!F51</f>
        <v>3357</v>
      </c>
      <c r="F25" s="766">
        <f>'13. Működési bev. (B3,B4)'!G51</f>
        <v>11184</v>
      </c>
      <c r="G25" s="1277">
        <f t="shared" si="4"/>
        <v>333.15460232350313</v>
      </c>
      <c r="H25" s="1061">
        <f>'13. Működési bev. (B3,B4)'!I51</f>
        <v>0</v>
      </c>
      <c r="I25" s="1059">
        <f>'13. Működési bev. (B3,B4)'!J51</f>
        <v>0</v>
      </c>
      <c r="J25" s="766">
        <f>'13. Működési bev. (B3,B4)'!K51</f>
        <v>600</v>
      </c>
      <c r="K25" s="766">
        <f>'13. Működési bev. (B3,B4)'!L51</f>
        <v>449</v>
      </c>
      <c r="L25" s="1277">
        <f t="shared" si="35"/>
        <v>74.833333333333329</v>
      </c>
      <c r="M25" s="1061"/>
      <c r="N25" s="1059"/>
      <c r="O25" s="766">
        <v>10</v>
      </c>
      <c r="P25" s="766">
        <v>341</v>
      </c>
      <c r="Q25" s="1277">
        <f>P25/O25%</f>
        <v>3410</v>
      </c>
      <c r="R25" s="1061"/>
      <c r="S25" s="1059"/>
      <c r="T25" s="766">
        <f>'3. Gesz költségvetés'!AD23</f>
        <v>26</v>
      </c>
      <c r="U25" s="766">
        <f>'3. Gesz költségvetés'!AE23</f>
        <v>26</v>
      </c>
      <c r="V25" s="1277"/>
      <c r="W25" s="1061"/>
      <c r="X25" s="1059">
        <f t="shared" si="43"/>
        <v>0</v>
      </c>
      <c r="Y25" s="766">
        <f t="shared" si="43"/>
        <v>3993</v>
      </c>
      <c r="Z25" s="766">
        <f t="shared" si="43"/>
        <v>12000</v>
      </c>
      <c r="AA25" s="1277">
        <f t="shared" si="48"/>
        <v>300.52592036063112</v>
      </c>
      <c r="AB25" s="1061">
        <f t="shared" si="45"/>
        <v>0</v>
      </c>
      <c r="AC25" s="1059">
        <f t="shared" si="45"/>
        <v>0</v>
      </c>
      <c r="AD25" s="766">
        <f t="shared" si="45"/>
        <v>3993</v>
      </c>
      <c r="AE25" s="766">
        <f t="shared" si="45"/>
        <v>12000</v>
      </c>
      <c r="AF25" s="1707">
        <f t="shared" si="49"/>
        <v>300.52592036063112</v>
      </c>
      <c r="AG25" s="256"/>
    </row>
    <row r="26" spans="1:33" ht="22.5" x14ac:dyDescent="0.3">
      <c r="A26" s="1615" t="s">
        <v>403</v>
      </c>
      <c r="B26" s="1616" t="s">
        <v>1</v>
      </c>
      <c r="C26" s="879">
        <f>SUM(C18:C24)</f>
        <v>262583.88199999998</v>
      </c>
      <c r="D26" s="1278">
        <f>SUM(D18:D25)</f>
        <v>146979.88036000001</v>
      </c>
      <c r="E26" s="1279">
        <f>SUM(E18:E25)</f>
        <v>163760.88036000001</v>
      </c>
      <c r="F26" s="1279">
        <f>SUM(F18:F25)</f>
        <v>103966.1</v>
      </c>
      <c r="G26" s="1280">
        <f t="shared" si="4"/>
        <v>63.486529732527387</v>
      </c>
      <c r="H26" s="1281">
        <f t="shared" ref="H26:N26" si="50">SUM(H18:H24)</f>
        <v>450</v>
      </c>
      <c r="I26" s="1278">
        <f t="shared" si="50"/>
        <v>117658.37400000001</v>
      </c>
      <c r="J26" s="1279">
        <f>SUM(J18:J25)</f>
        <v>131806.37400000001</v>
      </c>
      <c r="K26" s="1279">
        <f>SUM(K18:K25)</f>
        <v>118228.83200000001</v>
      </c>
      <c r="L26" s="1280">
        <f>K26/J26%</f>
        <v>89.698872984701026</v>
      </c>
      <c r="M26" s="1281">
        <f t="shared" si="50"/>
        <v>8750</v>
      </c>
      <c r="N26" s="1278">
        <f t="shared" si="50"/>
        <v>8550</v>
      </c>
      <c r="O26" s="1279">
        <f>SUM(O18:O25)</f>
        <v>9098</v>
      </c>
      <c r="P26" s="1279">
        <f>SUM(P18:P25)</f>
        <v>10308</v>
      </c>
      <c r="Q26" s="1280">
        <f t="shared" si="8"/>
        <v>113.29962629149263</v>
      </c>
      <c r="R26" s="1281">
        <f t="shared" ref="R26" si="51">SUM(R18:R24)</f>
        <v>44556</v>
      </c>
      <c r="S26" s="1278">
        <f t="shared" ref="S26:W26" si="52">SUM(S18:S24)</f>
        <v>27536</v>
      </c>
      <c r="T26" s="1279">
        <f>SUM(T18:T25)</f>
        <v>30460</v>
      </c>
      <c r="U26" s="1279">
        <f>SUM(U18:U25)</f>
        <v>32913</v>
      </c>
      <c r="V26" s="1305">
        <f>U26/T26%</f>
        <v>108.05318450426789</v>
      </c>
      <c r="W26" s="1281">
        <f t="shared" si="52"/>
        <v>0</v>
      </c>
      <c r="X26" s="1278">
        <f>SUM(X18:X25)</f>
        <v>300724.25436000002</v>
      </c>
      <c r="Y26" s="1279">
        <f>SUM(Y18:Y25)</f>
        <v>335125.25436000002</v>
      </c>
      <c r="Z26" s="1279">
        <f>SUM(Z18:Z25)</f>
        <v>265415.93200000003</v>
      </c>
      <c r="AA26" s="1280">
        <f t="shared" si="48"/>
        <v>79.199024408612175</v>
      </c>
      <c r="AB26" s="1281">
        <f t="shared" ref="AB26" si="53">SUM(AB18:AB24)</f>
        <v>316339.88199999998</v>
      </c>
      <c r="AC26" s="1278">
        <f>SUM(AC18:AC25)</f>
        <v>300724.25436000002</v>
      </c>
      <c r="AD26" s="1279">
        <f>SUM(AD18:AD25)</f>
        <v>335125.25436000002</v>
      </c>
      <c r="AE26" s="1279">
        <f>SUM(AE18:AE25)</f>
        <v>265415.93200000003</v>
      </c>
      <c r="AF26" s="1305">
        <f t="shared" si="49"/>
        <v>79.199024408612175</v>
      </c>
      <c r="AG26" s="256"/>
    </row>
    <row r="27" spans="1:33" ht="23.25" x14ac:dyDescent="0.35">
      <c r="A27" s="1323" t="s">
        <v>405</v>
      </c>
      <c r="B27" s="1275" t="s">
        <v>404</v>
      </c>
      <c r="C27" s="878">
        <f>1894+7547+7500+2780</f>
        <v>19721</v>
      </c>
      <c r="D27" s="1059">
        <f>7400+979</f>
        <v>8379</v>
      </c>
      <c r="E27" s="766">
        <f>7400+979</f>
        <v>8379</v>
      </c>
      <c r="F27" s="766">
        <v>10315</v>
      </c>
      <c r="G27" s="1277">
        <f t="shared" si="4"/>
        <v>123.10538250387873</v>
      </c>
      <c r="H27" s="1061"/>
      <c r="I27" s="1059"/>
      <c r="J27" s="766"/>
      <c r="K27" s="766"/>
      <c r="L27" s="998"/>
      <c r="M27" s="1061"/>
      <c r="N27" s="1059"/>
      <c r="O27" s="766"/>
      <c r="P27" s="766"/>
      <c r="Q27" s="1277"/>
      <c r="R27" s="1061"/>
      <c r="S27" s="1059"/>
      <c r="T27" s="766"/>
      <c r="U27" s="766"/>
      <c r="V27" s="998"/>
      <c r="W27" s="1061"/>
      <c r="X27" s="1059">
        <f t="shared" ref="X27:Z28" si="54">D27+I27+N27+S27</f>
        <v>8379</v>
      </c>
      <c r="Y27" s="766">
        <f t="shared" si="54"/>
        <v>8379</v>
      </c>
      <c r="Z27" s="766">
        <f t="shared" si="54"/>
        <v>10315</v>
      </c>
      <c r="AA27" s="1277">
        <f t="shared" si="48"/>
        <v>123.10538250387873</v>
      </c>
      <c r="AB27" s="1061">
        <f t="shared" ref="AB27:AE28" si="55">C27+H27+M27+R27</f>
        <v>19721</v>
      </c>
      <c r="AC27" s="1059">
        <f t="shared" si="55"/>
        <v>8379</v>
      </c>
      <c r="AD27" s="766">
        <f t="shared" si="55"/>
        <v>8379</v>
      </c>
      <c r="AE27" s="766">
        <f t="shared" si="55"/>
        <v>10315</v>
      </c>
      <c r="AF27" s="1707">
        <f t="shared" si="49"/>
        <v>123.10538250387873</v>
      </c>
      <c r="AG27" s="256"/>
    </row>
    <row r="28" spans="1:33" ht="23.25" x14ac:dyDescent="0.35">
      <c r="A28" s="1323" t="s">
        <v>407</v>
      </c>
      <c r="B28" s="1275" t="s">
        <v>406</v>
      </c>
      <c r="C28" s="878"/>
      <c r="D28" s="1059"/>
      <c r="E28" s="766"/>
      <c r="F28" s="766"/>
      <c r="G28" s="1277"/>
      <c r="H28" s="1061"/>
      <c r="I28" s="1059"/>
      <c r="J28" s="766"/>
      <c r="K28" s="766"/>
      <c r="L28" s="998"/>
      <c r="M28" s="1061"/>
      <c r="N28" s="1059"/>
      <c r="O28" s="766"/>
      <c r="P28" s="766"/>
      <c r="Q28" s="1277"/>
      <c r="R28" s="1061"/>
      <c r="S28" s="1059"/>
      <c r="T28" s="766"/>
      <c r="U28" s="766"/>
      <c r="V28" s="998"/>
      <c r="W28" s="1061"/>
      <c r="X28" s="1059">
        <f t="shared" si="54"/>
        <v>0</v>
      </c>
      <c r="Y28" s="766">
        <f t="shared" si="54"/>
        <v>0</v>
      </c>
      <c r="Z28" s="766">
        <f t="shared" si="54"/>
        <v>0</v>
      </c>
      <c r="AA28" s="1277"/>
      <c r="AB28" s="1061">
        <f t="shared" si="55"/>
        <v>0</v>
      </c>
      <c r="AC28" s="1059">
        <f t="shared" si="55"/>
        <v>0</v>
      </c>
      <c r="AD28" s="766">
        <f t="shared" si="55"/>
        <v>0</v>
      </c>
      <c r="AE28" s="766">
        <f t="shared" si="55"/>
        <v>0</v>
      </c>
      <c r="AF28" s="1707"/>
      <c r="AG28" s="256"/>
    </row>
    <row r="29" spans="1:33" ht="22.5" x14ac:dyDescent="0.3">
      <c r="A29" s="1615" t="s">
        <v>409</v>
      </c>
      <c r="B29" s="1616" t="s">
        <v>408</v>
      </c>
      <c r="C29" s="879">
        <f>SUM(C27:C28)</f>
        <v>19721</v>
      </c>
      <c r="D29" s="1278">
        <f>SUM(D27:D28)</f>
        <v>8379</v>
      </c>
      <c r="E29" s="1279">
        <f>SUM(E27:E28)</f>
        <v>8379</v>
      </c>
      <c r="F29" s="1279">
        <f>SUM(F27:F28)</f>
        <v>10315</v>
      </c>
      <c r="G29" s="1280">
        <f t="shared" si="4"/>
        <v>123.10538250387873</v>
      </c>
      <c r="H29" s="1281">
        <f>SUM(H27:H28)</f>
        <v>0</v>
      </c>
      <c r="I29" s="1278">
        <f t="shared" ref="I29:J29" si="56">SUM(I27:I28)</f>
        <v>0</v>
      </c>
      <c r="J29" s="1279">
        <f t="shared" si="56"/>
        <v>0</v>
      </c>
      <c r="K29" s="1279">
        <f t="shared" ref="K29" si="57">SUM(K27:K28)</f>
        <v>0</v>
      </c>
      <c r="L29" s="1282"/>
      <c r="M29" s="1281">
        <f t="shared" ref="M29:N29" si="58">SUM(M27:M28)</f>
        <v>0</v>
      </c>
      <c r="N29" s="1278">
        <f t="shared" si="58"/>
        <v>0</v>
      </c>
      <c r="O29" s="1279">
        <f t="shared" ref="O29:P29" si="59">SUM(O27:O28)</f>
        <v>0</v>
      </c>
      <c r="P29" s="1279">
        <f t="shared" si="59"/>
        <v>0</v>
      </c>
      <c r="Q29" s="1280"/>
      <c r="R29" s="1281">
        <f t="shared" ref="R29" si="60">SUM(R27:R28)</f>
        <v>0</v>
      </c>
      <c r="S29" s="1278">
        <f t="shared" ref="S29:W29" si="61">SUM(S27:S28)</f>
        <v>0</v>
      </c>
      <c r="T29" s="1279">
        <f t="shared" si="61"/>
        <v>0</v>
      </c>
      <c r="U29" s="1279">
        <f t="shared" ref="U29" si="62">SUM(U27:U28)</f>
        <v>0</v>
      </c>
      <c r="V29" s="1282"/>
      <c r="W29" s="1281">
        <f t="shared" si="61"/>
        <v>0</v>
      </c>
      <c r="X29" s="1278">
        <f t="shared" ref="X29:AC29" si="63">SUM(X27:X28)</f>
        <v>8379</v>
      </c>
      <c r="Y29" s="1279">
        <f t="shared" ref="Y29:Z29" si="64">SUM(Y27:Y28)</f>
        <v>8379</v>
      </c>
      <c r="Z29" s="1279">
        <f t="shared" si="64"/>
        <v>10315</v>
      </c>
      <c r="AA29" s="1280">
        <f t="shared" si="44"/>
        <v>123.10538250387873</v>
      </c>
      <c r="AB29" s="1281">
        <f t="shared" si="63"/>
        <v>19721</v>
      </c>
      <c r="AC29" s="1278">
        <f t="shared" si="63"/>
        <v>8379</v>
      </c>
      <c r="AD29" s="1279">
        <f t="shared" ref="AD29:AE29" si="65">SUM(AD27:AD28)</f>
        <v>8379</v>
      </c>
      <c r="AE29" s="1279">
        <f t="shared" si="65"/>
        <v>10315</v>
      </c>
      <c r="AF29" s="1305">
        <f t="shared" si="46"/>
        <v>123.10538250387873</v>
      </c>
      <c r="AG29" s="256"/>
    </row>
    <row r="30" spans="1:33" ht="42.75" customHeight="1" x14ac:dyDescent="0.35">
      <c r="A30" s="1323" t="s">
        <v>411</v>
      </c>
      <c r="B30" s="1275" t="s">
        <v>410</v>
      </c>
      <c r="C30" s="878">
        <f>'14. Átvett pénze.(B6,B7)'!C9</f>
        <v>102</v>
      </c>
      <c r="D30" s="1059">
        <f>'14. Átvett pénze.(B6,B7)'!D9</f>
        <v>0</v>
      </c>
      <c r="E30" s="766">
        <f>'14. Átvett pénze.(B6,B7)'!E9</f>
        <v>0</v>
      </c>
      <c r="F30" s="766">
        <f>'14. Átvett pénze.(B6,B7)'!F9</f>
        <v>0</v>
      </c>
      <c r="G30" s="1277"/>
      <c r="H30" s="1061"/>
      <c r="I30" s="1059"/>
      <c r="J30" s="766"/>
      <c r="K30" s="766"/>
      <c r="L30" s="998"/>
      <c r="M30" s="1061"/>
      <c r="N30" s="1059"/>
      <c r="O30" s="766"/>
      <c r="P30" s="766"/>
      <c r="Q30" s="1277"/>
      <c r="R30" s="1061"/>
      <c r="S30" s="1059"/>
      <c r="T30" s="766">
        <f>'3. Gesz költségvetés'!AD25</f>
        <v>760</v>
      </c>
      <c r="U30" s="766">
        <f>'3. Gesz költségvetés'!AE25</f>
        <v>760</v>
      </c>
      <c r="V30" s="1277">
        <f>U30/T30%</f>
        <v>100</v>
      </c>
      <c r="W30" s="1061"/>
      <c r="X30" s="1059">
        <f>D30+I30+N30+S30</f>
        <v>0</v>
      </c>
      <c r="Y30" s="766">
        <f>E30+J30+O30+T30</f>
        <v>760</v>
      </c>
      <c r="Z30" s="766">
        <f>F30+K30+P30+U30</f>
        <v>760</v>
      </c>
      <c r="AA30" s="1277">
        <f>Z30/Y30%</f>
        <v>100</v>
      </c>
      <c r="AB30" s="1061">
        <f>C30+H30+M30+R30</f>
        <v>102</v>
      </c>
      <c r="AC30" s="1059">
        <f>D30+I30+N30+S30</f>
        <v>0</v>
      </c>
      <c r="AD30" s="766">
        <f>E30+J30+O30+T30</f>
        <v>760</v>
      </c>
      <c r="AE30" s="766">
        <f>F30+K30+P30+U30</f>
        <v>760</v>
      </c>
      <c r="AF30" s="1707">
        <f>AE30/AD30%</f>
        <v>100</v>
      </c>
      <c r="AG30" s="256"/>
    </row>
    <row r="31" spans="1:33" ht="22.5" x14ac:dyDescent="0.3">
      <c r="A31" s="1615" t="s">
        <v>413</v>
      </c>
      <c r="B31" s="1616" t="s">
        <v>412</v>
      </c>
      <c r="C31" s="879">
        <f t="shared" ref="C31:J31" si="66">SUM(C30)</f>
        <v>102</v>
      </c>
      <c r="D31" s="1278">
        <f t="shared" si="66"/>
        <v>0</v>
      </c>
      <c r="E31" s="1279">
        <f t="shared" si="66"/>
        <v>0</v>
      </c>
      <c r="F31" s="1279">
        <f t="shared" ref="F31" si="67">SUM(F30)</f>
        <v>0</v>
      </c>
      <c r="G31" s="1280"/>
      <c r="H31" s="1281">
        <f t="shared" si="66"/>
        <v>0</v>
      </c>
      <c r="I31" s="1278">
        <f t="shared" si="66"/>
        <v>0</v>
      </c>
      <c r="J31" s="1279">
        <f t="shared" si="66"/>
        <v>0</v>
      </c>
      <c r="K31" s="1279">
        <f t="shared" ref="K31" si="68">SUM(K30)</f>
        <v>0</v>
      </c>
      <c r="L31" s="1282"/>
      <c r="M31" s="1281">
        <f t="shared" ref="M31:N31" si="69">SUM(M30)</f>
        <v>0</v>
      </c>
      <c r="N31" s="1278">
        <f t="shared" si="69"/>
        <v>0</v>
      </c>
      <c r="O31" s="1279">
        <f t="shared" ref="O31:P31" si="70">SUM(O30)</f>
        <v>0</v>
      </c>
      <c r="P31" s="1279">
        <f t="shared" si="70"/>
        <v>0</v>
      </c>
      <c r="Q31" s="1280"/>
      <c r="R31" s="1281">
        <f>'3. Gesz költségvetés'!AB25</f>
        <v>0</v>
      </c>
      <c r="S31" s="1278">
        <f>'3. Gesz költségvetés'!AC25</f>
        <v>0</v>
      </c>
      <c r="T31" s="1279">
        <f>'3. Gesz költségvetés'!AD25</f>
        <v>760</v>
      </c>
      <c r="U31" s="1279">
        <f>'3. Gesz költségvetés'!AE25</f>
        <v>760</v>
      </c>
      <c r="V31" s="1305">
        <f>U31/T31%</f>
        <v>100</v>
      </c>
      <c r="W31" s="1281">
        <f>'3. Gesz költségvetés'!AG25</f>
        <v>0</v>
      </c>
      <c r="X31" s="1278">
        <f>SUM(X30)</f>
        <v>0</v>
      </c>
      <c r="Y31" s="1279">
        <f>SUM(Y30)</f>
        <v>760</v>
      </c>
      <c r="Z31" s="1279">
        <f>SUM(Z30)</f>
        <v>760</v>
      </c>
      <c r="AA31" s="1280">
        <f>Z31/Y31%</f>
        <v>100</v>
      </c>
      <c r="AB31" s="1281">
        <f t="shared" ref="AB31:AC31" si="71">SUM(AB30)</f>
        <v>102</v>
      </c>
      <c r="AC31" s="1278">
        <f t="shared" si="71"/>
        <v>0</v>
      </c>
      <c r="AD31" s="1279">
        <f t="shared" ref="AD31:AE31" si="72">SUM(AD30)</f>
        <v>760</v>
      </c>
      <c r="AE31" s="1279">
        <f t="shared" si="72"/>
        <v>760</v>
      </c>
      <c r="AF31" s="1305">
        <f>AE31/AD31%</f>
        <v>100</v>
      </c>
      <c r="AG31" s="256"/>
    </row>
    <row r="32" spans="1:33" ht="60.75" x14ac:dyDescent="0.35">
      <c r="A32" s="1323" t="s">
        <v>1003</v>
      </c>
      <c r="B32" s="1446" t="s">
        <v>414</v>
      </c>
      <c r="C32" s="878">
        <f>'14. Átvett pénze.(B6,B7)'!C25</f>
        <v>764</v>
      </c>
      <c r="D32" s="1059">
        <f>'14. Átvett pénze.(B6,B7)'!D25</f>
        <v>660</v>
      </c>
      <c r="E32" s="766">
        <f>'14. Átvett pénze.(B6,B7)'!E25</f>
        <v>660</v>
      </c>
      <c r="F32" s="766">
        <f>'14. Átvett pénze.(B6,B7)'!F25</f>
        <v>1396</v>
      </c>
      <c r="G32" s="1277">
        <f t="shared" si="4"/>
        <v>211.51515151515153</v>
      </c>
      <c r="H32" s="1061"/>
      <c r="I32" s="1059"/>
      <c r="J32" s="766"/>
      <c r="K32" s="766"/>
      <c r="L32" s="998"/>
      <c r="M32" s="1061"/>
      <c r="N32" s="1059"/>
      <c r="O32" s="766"/>
      <c r="P32" s="766"/>
      <c r="Q32" s="1277"/>
      <c r="R32" s="1061"/>
      <c r="S32" s="1059"/>
      <c r="T32" s="766"/>
      <c r="U32" s="766"/>
      <c r="V32" s="998"/>
      <c r="W32" s="1061"/>
      <c r="X32" s="1059">
        <f t="shared" ref="X32:Z33" si="73">D32+I32+N32+S32</f>
        <v>660</v>
      </c>
      <c r="Y32" s="766">
        <f t="shared" si="73"/>
        <v>660</v>
      </c>
      <c r="Z32" s="766">
        <f t="shared" si="73"/>
        <v>1396</v>
      </c>
      <c r="AA32" s="1277">
        <f t="shared" si="44"/>
        <v>211.51515151515153</v>
      </c>
      <c r="AB32" s="1061">
        <f t="shared" ref="AB32:AE33" si="74">C32+H32+M32+R32</f>
        <v>764</v>
      </c>
      <c r="AC32" s="1059">
        <f t="shared" si="74"/>
        <v>660</v>
      </c>
      <c r="AD32" s="766">
        <f t="shared" si="74"/>
        <v>660</v>
      </c>
      <c r="AE32" s="766">
        <f t="shared" si="74"/>
        <v>1396</v>
      </c>
      <c r="AF32" s="1707">
        <f t="shared" si="46"/>
        <v>211.51515151515153</v>
      </c>
      <c r="AG32" s="256"/>
    </row>
    <row r="33" spans="1:34" ht="40.5" x14ac:dyDescent="0.35">
      <c r="A33" s="1323" t="s">
        <v>822</v>
      </c>
      <c r="B33" s="1275" t="s">
        <v>416</v>
      </c>
      <c r="C33" s="878">
        <f>'14. Átvett pénze.(B6,B7)'!C28</f>
        <v>5470</v>
      </c>
      <c r="D33" s="1059">
        <f>'14. Átvett pénze.(B6,B7)'!D28</f>
        <v>2066</v>
      </c>
      <c r="E33" s="766">
        <f>'14. Átvett pénze.(B6,B7)'!E28</f>
        <v>0</v>
      </c>
      <c r="F33" s="766">
        <f>'14. Átvett pénze.(B6,B7)'!F28</f>
        <v>0</v>
      </c>
      <c r="G33" s="1277"/>
      <c r="H33" s="1061"/>
      <c r="I33" s="1059"/>
      <c r="J33" s="766"/>
      <c r="K33" s="766"/>
      <c r="L33" s="998"/>
      <c r="M33" s="1061"/>
      <c r="N33" s="1059"/>
      <c r="O33" s="766"/>
      <c r="P33" s="766"/>
      <c r="Q33" s="1277"/>
      <c r="R33" s="1061"/>
      <c r="S33" s="1059"/>
      <c r="T33" s="766"/>
      <c r="U33" s="766"/>
      <c r="V33" s="998"/>
      <c r="W33" s="1061"/>
      <c r="X33" s="1059">
        <f t="shared" si="73"/>
        <v>2066</v>
      </c>
      <c r="Y33" s="766">
        <f t="shared" si="73"/>
        <v>0</v>
      </c>
      <c r="Z33" s="766">
        <f t="shared" si="73"/>
        <v>0</v>
      </c>
      <c r="AA33" s="1277"/>
      <c r="AB33" s="1061">
        <f t="shared" si="74"/>
        <v>5470</v>
      </c>
      <c r="AC33" s="1059">
        <f t="shared" si="74"/>
        <v>2066</v>
      </c>
      <c r="AD33" s="766">
        <f t="shared" si="74"/>
        <v>0</v>
      </c>
      <c r="AE33" s="766">
        <f t="shared" si="74"/>
        <v>0</v>
      </c>
      <c r="AF33" s="1707"/>
      <c r="AG33" s="256"/>
    </row>
    <row r="34" spans="1:34" ht="39" customHeight="1" x14ac:dyDescent="0.3">
      <c r="A34" s="1615" t="s">
        <v>419</v>
      </c>
      <c r="B34" s="1616" t="s">
        <v>418</v>
      </c>
      <c r="C34" s="879">
        <f t="shared" ref="C34:AB34" si="75">SUM(C32:C33)</f>
        <v>6234</v>
      </c>
      <c r="D34" s="1278">
        <f t="shared" ref="D34:E34" si="76">SUM(D32:D33)</f>
        <v>2726</v>
      </c>
      <c r="E34" s="1279">
        <f t="shared" si="76"/>
        <v>660</v>
      </c>
      <c r="F34" s="1279">
        <f t="shared" ref="F34" si="77">SUM(F32:F33)</f>
        <v>1396</v>
      </c>
      <c r="G34" s="1280">
        <f t="shared" si="4"/>
        <v>211.51515151515153</v>
      </c>
      <c r="H34" s="1281">
        <f t="shared" si="75"/>
        <v>0</v>
      </c>
      <c r="I34" s="1278">
        <f t="shared" si="75"/>
        <v>0</v>
      </c>
      <c r="J34" s="1279">
        <f t="shared" ref="J34:K34" si="78">SUM(J32:J33)</f>
        <v>0</v>
      </c>
      <c r="K34" s="1279">
        <f t="shared" si="78"/>
        <v>0</v>
      </c>
      <c r="L34" s="1282"/>
      <c r="M34" s="1281">
        <f t="shared" si="75"/>
        <v>0</v>
      </c>
      <c r="N34" s="1278">
        <f t="shared" ref="N34:O34" si="79">SUM(N32:N33)</f>
        <v>0</v>
      </c>
      <c r="O34" s="1279">
        <f t="shared" si="79"/>
        <v>0</v>
      </c>
      <c r="P34" s="1279">
        <f t="shared" ref="P34" si="80">SUM(P32:P33)</f>
        <v>0</v>
      </c>
      <c r="Q34" s="1280"/>
      <c r="R34" s="1281">
        <f t="shared" si="75"/>
        <v>0</v>
      </c>
      <c r="S34" s="1278">
        <f t="shared" ref="S34:W34" si="81">SUM(S32:S33)</f>
        <v>0</v>
      </c>
      <c r="T34" s="1279">
        <f t="shared" si="81"/>
        <v>0</v>
      </c>
      <c r="U34" s="1279">
        <f t="shared" ref="U34" si="82">SUM(U32:U33)</f>
        <v>0</v>
      </c>
      <c r="V34" s="1282"/>
      <c r="W34" s="1281">
        <f t="shared" si="81"/>
        <v>0</v>
      </c>
      <c r="X34" s="1278">
        <f t="shared" ref="X34:Y34" si="83">SUM(X32:X33)</f>
        <v>2726</v>
      </c>
      <c r="Y34" s="1279">
        <f t="shared" si="83"/>
        <v>660</v>
      </c>
      <c r="Z34" s="1279">
        <f t="shared" ref="Z34" si="84">SUM(Z32:Z33)</f>
        <v>1396</v>
      </c>
      <c r="AA34" s="1280">
        <f t="shared" si="44"/>
        <v>211.51515151515153</v>
      </c>
      <c r="AB34" s="1281">
        <f t="shared" si="75"/>
        <v>6234</v>
      </c>
      <c r="AC34" s="1278">
        <f t="shared" ref="AC34:AD34" si="85">SUM(AC32:AC33)</f>
        <v>2726</v>
      </c>
      <c r="AD34" s="1279">
        <f t="shared" si="85"/>
        <v>660</v>
      </c>
      <c r="AE34" s="1279">
        <f t="shared" ref="AE34" si="86">SUM(AE32:AE33)</f>
        <v>1396</v>
      </c>
      <c r="AF34" s="1305">
        <f t="shared" si="46"/>
        <v>211.51515151515153</v>
      </c>
      <c r="AG34" s="256"/>
    </row>
    <row r="35" spans="1:34" ht="22.5" x14ac:dyDescent="0.3">
      <c r="A35" s="1328" t="s">
        <v>421</v>
      </c>
      <c r="B35" s="1276" t="s">
        <v>420</v>
      </c>
      <c r="C35" s="880">
        <f>C34+C31+C29+C26+C17+C13+C10-1</f>
        <v>1516427.882</v>
      </c>
      <c r="D35" s="1284">
        <f>D34+D31+D29+D26+D17+D13+D10</f>
        <v>1407482.5822662751</v>
      </c>
      <c r="E35" s="1285">
        <f>E34+E31+E29+E26+E17+E13+E10</f>
        <v>1602095.5822662751</v>
      </c>
      <c r="F35" s="1285">
        <f>F34+F31+F29+F26+F17+F13+F10</f>
        <v>1614829.1</v>
      </c>
      <c r="G35" s="1286">
        <f t="shared" si="4"/>
        <v>100.79480387279469</v>
      </c>
      <c r="H35" s="1287">
        <f t="shared" ref="H35:R35" si="87">H34+H31+H29+H26+H17+H13+H10</f>
        <v>1350</v>
      </c>
      <c r="I35" s="1284">
        <f t="shared" si="87"/>
        <v>118358.37400000001</v>
      </c>
      <c r="J35" s="1285">
        <f t="shared" ref="J35:K35" si="88">J34+J31+J29+J26+J17+J13+J10</f>
        <v>131951.37400000001</v>
      </c>
      <c r="K35" s="1285">
        <f t="shared" si="88"/>
        <v>119534.83200000001</v>
      </c>
      <c r="L35" s="1286">
        <f>K35/J35%</f>
        <v>90.590062366459335</v>
      </c>
      <c r="M35" s="1287">
        <f t="shared" si="87"/>
        <v>264750</v>
      </c>
      <c r="N35" s="1284">
        <f t="shared" ref="N35:O35" si="89">N34+N31+N29+N26+N17+N13+N10</f>
        <v>271050</v>
      </c>
      <c r="O35" s="1285">
        <f t="shared" si="89"/>
        <v>308485</v>
      </c>
      <c r="P35" s="1285">
        <f>P34+P31+P29+P26+P17+P13+P10</f>
        <v>314155</v>
      </c>
      <c r="Q35" s="1286">
        <f t="shared" si="8"/>
        <v>101.83801481433457</v>
      </c>
      <c r="R35" s="1287">
        <f t="shared" si="87"/>
        <v>44638</v>
      </c>
      <c r="S35" s="1284">
        <f t="shared" ref="S35:W35" si="90">S34+S31+S29+S26+S17+S13+S10</f>
        <v>27536</v>
      </c>
      <c r="T35" s="1285">
        <f t="shared" si="90"/>
        <v>31372</v>
      </c>
      <c r="U35" s="1285">
        <f t="shared" ref="U35" si="91">U34+U31+U29+U26+U17+U13+U10</f>
        <v>33825</v>
      </c>
      <c r="V35" s="1286">
        <f>U35/T35%</f>
        <v>107.81907433380083</v>
      </c>
      <c r="W35" s="1287">
        <f t="shared" si="90"/>
        <v>2</v>
      </c>
      <c r="X35" s="1284">
        <f>X10+X13+X17+X26+X29+X31+X34</f>
        <v>1824426.9562662751</v>
      </c>
      <c r="Y35" s="1285">
        <f>Y10+Y13+Y17+Y26+Y29+Y31+Y34</f>
        <v>2073903.9562662751</v>
      </c>
      <c r="Z35" s="1285">
        <f>Z10+Z13+Z17+Z26+Z29+Z31+Z34</f>
        <v>2082343.932</v>
      </c>
      <c r="AA35" s="1286">
        <f t="shared" si="44"/>
        <v>100.40696078081261</v>
      </c>
      <c r="AB35" s="1287">
        <f>AB10+AB13+AB17+AB26+AB29+AB31+AB34-1</f>
        <v>1827165.882</v>
      </c>
      <c r="AC35" s="1284">
        <f>AC10+AC13+AC17+AC26+AC29+AC31+AC34</f>
        <v>1824426.9562662751</v>
      </c>
      <c r="AD35" s="1285">
        <f>AD10+AD13+AD17+AD26+AD29+AD31+AD34</f>
        <v>2073903.9562662751</v>
      </c>
      <c r="AE35" s="1285">
        <f>AE10+AE13+AE17+AE26+AE29+AE31+AE34</f>
        <v>2082343.932</v>
      </c>
      <c r="AF35" s="1708">
        <f t="shared" si="46"/>
        <v>100.40696078081261</v>
      </c>
      <c r="AG35" s="256"/>
      <c r="AH35" s="256"/>
    </row>
    <row r="36" spans="1:34" ht="22.5" x14ac:dyDescent="0.3">
      <c r="A36" s="1618"/>
      <c r="B36" s="1619" t="s">
        <v>422</v>
      </c>
      <c r="C36" s="881">
        <f>C10+C17+C26+C297+C31-'2.Kiadások_részletes '!C20-1</f>
        <v>590595.93759999995</v>
      </c>
      <c r="D36" s="1288">
        <f>D10+D17+D26+D297+D31-'2.Kiadások_részletes '!D20</f>
        <v>818124.87426627509</v>
      </c>
      <c r="E36" s="1289">
        <f>E10+E17+E26+E297+E31-'2.Kiadások_részletes '!E20</f>
        <v>887574.87426627509</v>
      </c>
      <c r="F36" s="1289">
        <f>F10+F17+F26+F297+F31-'2.Kiadások_részletes '!F20</f>
        <v>1059286.1000000001</v>
      </c>
      <c r="G36" s="1290"/>
      <c r="H36" s="1291">
        <f>H10+H17+H26+H297+H31-'2.Kiadások_részletes '!H20</f>
        <v>-304429</v>
      </c>
      <c r="I36" s="1288">
        <f>I10+I17+I26+I297+I31-'2.Kiadások_részletes '!I20</f>
        <v>-427519.98200000002</v>
      </c>
      <c r="J36" s="1289">
        <f>J10+J17+J26+J297+J31-'2.Kiadások_részletes '!J20</f>
        <v>-412951.98200000002</v>
      </c>
      <c r="K36" s="1289">
        <f>K10+K17+K26+K297+K31-'2.Kiadások_részletes '!K20</f>
        <v>-360465.16800000001</v>
      </c>
      <c r="L36" s="1292"/>
      <c r="M36" s="1291">
        <f>M10+M17+M26+M297+M31-'2.Kiadások_részletes '!M20</f>
        <v>1778</v>
      </c>
      <c r="N36" s="1288">
        <f>N10+N17+N26+N297+N31-'2.Kiadások_részletes '!N20</f>
        <v>635</v>
      </c>
      <c r="O36" s="1289">
        <f>O10+O17+O26+O297+O31-'2.Kiadások_részletes '!O20</f>
        <v>-11189</v>
      </c>
      <c r="P36" s="1289">
        <f>P10+P17+P26+P297+P31-'2.Kiadások_részletes '!P20</f>
        <v>14468</v>
      </c>
      <c r="Q36" s="1290"/>
      <c r="R36" s="1291">
        <f>R10+R17+R26+R297+R31-'2.Kiadások_részletes '!R20</f>
        <v>-464330</v>
      </c>
      <c r="S36" s="1288">
        <f>S10+S17+S26+S297+S31-'2.Kiadások_részletes '!S20</f>
        <v>-488324</v>
      </c>
      <c r="T36" s="1289">
        <f>T10+T17+T26+T297+T31-'2.Kiadások_részletes '!T20</f>
        <v>-502735</v>
      </c>
      <c r="U36" s="1289">
        <f>U10+U17+U26+U297+U31-'2.Kiadások_részletes '!U20</f>
        <v>-466087</v>
      </c>
      <c r="V36" s="1292"/>
      <c r="W36" s="1291">
        <f>W10+W17+W26+W297+W31-'2.Kiadások_részletes '!W20</f>
        <v>-1977593.9443999999</v>
      </c>
      <c r="X36" s="1288">
        <f>X10+X17+X26+X297+X31-'2.Kiadások_részletes '!X20</f>
        <v>-97084.107733724872</v>
      </c>
      <c r="Y36" s="1289">
        <f>Y10+Y17+Y26+Y297+Y31-'2.Kiadások_részletes '!Y20</f>
        <v>-39302.107733724872</v>
      </c>
      <c r="Z36" s="1289">
        <f>Z10+Z17+Z26+Z297+Z31-'2.Kiadások_részletes '!Z20</f>
        <v>247200.93200000003</v>
      </c>
      <c r="AA36" s="1290"/>
      <c r="AB36" s="1291">
        <f>AB10+AB17+AB26+AB297+AB31-'2.Kiadások_részletes '!AB20-1</f>
        <v>-176385.06239999994</v>
      </c>
      <c r="AC36" s="1288">
        <f>AC10+AC17+AC26+AC297+AC31-'2.Kiadások_részletes '!AC20</f>
        <v>-97084.107733724872</v>
      </c>
      <c r="AD36" s="1289">
        <f>AD10+AD17+AD26+AD297+AD31-'2.Kiadások_részletes '!AD20</f>
        <v>-39302.107733724872</v>
      </c>
      <c r="AE36" s="1289">
        <f>AE10+AE17+AE26+AE297+AE31-'2.Kiadások_részletes '!AE20</f>
        <v>247200.93200000003</v>
      </c>
      <c r="AF36" s="1709"/>
      <c r="AG36" s="256"/>
      <c r="AH36" s="256"/>
    </row>
    <row r="37" spans="1:34" ht="22.5" x14ac:dyDescent="0.3">
      <c r="A37" s="1618"/>
      <c r="B37" s="1619" t="s">
        <v>423</v>
      </c>
      <c r="C37" s="881">
        <f>C13+C29+C34-'2.Kiadások_részletes '!C26</f>
        <v>-227955</v>
      </c>
      <c r="D37" s="1288">
        <f>D13+D29+D34-'2.Kiadások_részletes '!D26</f>
        <v>-281178</v>
      </c>
      <c r="E37" s="1289">
        <f>E13+E29+E34-'2.Kiadások_részletes '!E26</f>
        <v>-298707</v>
      </c>
      <c r="F37" s="1289">
        <f>F13+F29+F34-'2.Kiadások_részletes '!F26</f>
        <v>-194098</v>
      </c>
      <c r="G37" s="1290"/>
      <c r="H37" s="1291">
        <f>H13+H29+H34-'2.Kiadások_részletes '!H26</f>
        <v>-7500</v>
      </c>
      <c r="I37" s="1288">
        <f>I13+I29+I34-'2.Kiadások_részletes '!I26</f>
        <v>-11660</v>
      </c>
      <c r="J37" s="1289">
        <f>J13+J29+J34-'2.Kiadások_részletes '!J26</f>
        <v>-20557</v>
      </c>
      <c r="K37" s="1289">
        <f>K13+K29+K34-'2.Kiadások_részletes '!K26</f>
        <v>-15582.15</v>
      </c>
      <c r="L37" s="1292"/>
      <c r="M37" s="1291">
        <f>M13+M29+M34-'2.Kiadások_részletes '!M26</f>
        <v>-1778</v>
      </c>
      <c r="N37" s="1288">
        <f>N13+N29+N34-'2.Kiadások_részletes '!N26</f>
        <v>-635</v>
      </c>
      <c r="O37" s="1289">
        <f>O13+O29+O34-'2.Kiadások_részletes '!O26</f>
        <v>-3075</v>
      </c>
      <c r="P37" s="1289">
        <f>P13+P29+P34-'2.Kiadások_részletes '!P26</f>
        <v>-3071</v>
      </c>
      <c r="Q37" s="1290"/>
      <c r="R37" s="1291">
        <f>R13+R29+R34-'2.Kiadások_részletes '!R26</f>
        <v>-3363</v>
      </c>
      <c r="S37" s="1288">
        <f>S13+S29+S34-'2.Kiadások_részletes '!S26</f>
        <v>-2973</v>
      </c>
      <c r="T37" s="1289">
        <f>T13+T29+T34-'2.Kiadások_részletes '!T26</f>
        <v>-7922</v>
      </c>
      <c r="U37" s="1289">
        <f>U13+U29+U34-'2.Kiadások_részletes '!U26</f>
        <v>-7817</v>
      </c>
      <c r="V37" s="1292"/>
      <c r="W37" s="1291">
        <f>W13+W29+W34-'2.Kiadások_részletes '!W26</f>
        <v>-266551</v>
      </c>
      <c r="X37" s="1288">
        <f>X13+X29+X34-'2.Kiadások_részletes '!X26</f>
        <v>-296446</v>
      </c>
      <c r="Y37" s="1289">
        <f>Y13+Y29+Y34-'2.Kiadások_részletes '!Y26</f>
        <v>-330261</v>
      </c>
      <c r="Z37" s="1289">
        <f>Z13+Z29+Z34-'2.Kiadások_részletes '!Z26</f>
        <v>-220568.15000000002</v>
      </c>
      <c r="AA37" s="1290"/>
      <c r="AB37" s="1291">
        <f>AB13+AB29+AB34-'2.Kiadások_részletes '!AB26</f>
        <v>-240596</v>
      </c>
      <c r="AC37" s="1288">
        <f>AC13+AC29+AC34-'2.Kiadások_részletes '!AC26</f>
        <v>-296446</v>
      </c>
      <c r="AD37" s="1289">
        <f>AD13+AD29+AD34-'2.Kiadások_részletes '!AD26</f>
        <v>-330261</v>
      </c>
      <c r="AE37" s="1289">
        <f>AE13+AE29+AE34-'2.Kiadások_részletes '!AE26</f>
        <v>-220568.15000000002</v>
      </c>
      <c r="AF37" s="1709"/>
      <c r="AG37" s="256"/>
      <c r="AH37" s="256"/>
    </row>
    <row r="38" spans="1:34" ht="23.25" x14ac:dyDescent="0.35">
      <c r="A38" s="1330" t="s">
        <v>150</v>
      </c>
      <c r="B38" s="1467" t="s">
        <v>149</v>
      </c>
      <c r="C38" s="878">
        <v>0</v>
      </c>
      <c r="D38" s="1059">
        <v>0</v>
      </c>
      <c r="E38" s="766">
        <v>0</v>
      </c>
      <c r="F38" s="766">
        <v>0</v>
      </c>
      <c r="G38" s="1277"/>
      <c r="H38" s="1061">
        <v>0</v>
      </c>
      <c r="I38" s="1059"/>
      <c r="J38" s="766"/>
      <c r="K38" s="766"/>
      <c r="L38" s="998"/>
      <c r="M38" s="1061"/>
      <c r="N38" s="1059"/>
      <c r="O38" s="766"/>
      <c r="P38" s="766"/>
      <c r="Q38" s="1277"/>
      <c r="R38" s="1061"/>
      <c r="S38" s="1059"/>
      <c r="T38" s="766"/>
      <c r="U38" s="766"/>
      <c r="V38" s="998"/>
      <c r="W38" s="1061"/>
      <c r="X38" s="1059">
        <f t="shared" ref="X38:Z40" si="92">D38+I38+N38+S38</f>
        <v>0</v>
      </c>
      <c r="Y38" s="766">
        <f t="shared" si="92"/>
        <v>0</v>
      </c>
      <c r="Z38" s="766">
        <f t="shared" si="92"/>
        <v>0</v>
      </c>
      <c r="AA38" s="1277"/>
      <c r="AB38" s="1061">
        <f t="shared" ref="AB38:AE40" si="93">C38+H38+M38+R38</f>
        <v>0</v>
      </c>
      <c r="AC38" s="1059">
        <f t="shared" si="93"/>
        <v>0</v>
      </c>
      <c r="AD38" s="766">
        <f t="shared" si="93"/>
        <v>0</v>
      </c>
      <c r="AE38" s="766">
        <f t="shared" si="93"/>
        <v>0</v>
      </c>
      <c r="AF38" s="1707"/>
      <c r="AG38" s="256"/>
      <c r="AH38" s="256"/>
    </row>
    <row r="39" spans="1:34" ht="40.5" x14ac:dyDescent="0.35">
      <c r="A39" s="1330" t="s">
        <v>425</v>
      </c>
      <c r="B39" s="1275" t="s">
        <v>424</v>
      </c>
      <c r="C39" s="878">
        <f>'15. finanszírozás be_ki (B8,K9)'!D10</f>
        <v>0</v>
      </c>
      <c r="D39" s="1059">
        <f>'15. finanszírozás be_ki (B8,K9)'!E10</f>
        <v>0</v>
      </c>
      <c r="E39" s="766">
        <f>'15. finanszírozás be_ki (B8,K9)'!F10</f>
        <v>0</v>
      </c>
      <c r="F39" s="766">
        <f>'15. finanszírozás be_ki (B8,K9)'!G10</f>
        <v>0</v>
      </c>
      <c r="G39" s="1277"/>
      <c r="H39" s="1061">
        <v>0</v>
      </c>
      <c r="I39" s="1059"/>
      <c r="J39" s="766"/>
      <c r="K39" s="766"/>
      <c r="L39" s="998"/>
      <c r="M39" s="1061"/>
      <c r="N39" s="1059"/>
      <c r="O39" s="766"/>
      <c r="P39" s="766"/>
      <c r="Q39" s="1277"/>
      <c r="R39" s="1061"/>
      <c r="S39" s="1059"/>
      <c r="T39" s="766"/>
      <c r="U39" s="766"/>
      <c r="V39" s="998"/>
      <c r="W39" s="1061"/>
      <c r="X39" s="1059">
        <f t="shared" si="92"/>
        <v>0</v>
      </c>
      <c r="Y39" s="766">
        <f t="shared" si="92"/>
        <v>0</v>
      </c>
      <c r="Z39" s="766">
        <f t="shared" si="92"/>
        <v>0</v>
      </c>
      <c r="AA39" s="1277"/>
      <c r="AB39" s="1061">
        <f t="shared" si="93"/>
        <v>0</v>
      </c>
      <c r="AC39" s="1059">
        <f t="shared" si="93"/>
        <v>0</v>
      </c>
      <c r="AD39" s="766">
        <f t="shared" si="93"/>
        <v>0</v>
      </c>
      <c r="AE39" s="766">
        <f t="shared" si="93"/>
        <v>0</v>
      </c>
      <c r="AF39" s="1707"/>
      <c r="AG39" s="256"/>
      <c r="AH39" s="256"/>
    </row>
    <row r="40" spans="1:34" s="255" customFormat="1" ht="40.5" x14ac:dyDescent="0.3">
      <c r="A40" s="1620" t="s">
        <v>427</v>
      </c>
      <c r="B40" s="1450" t="s">
        <v>426</v>
      </c>
      <c r="C40" s="882">
        <f>SUM(C38:C39)</f>
        <v>0</v>
      </c>
      <c r="D40" s="1293">
        <f>SUM(D38:D39)</f>
        <v>0</v>
      </c>
      <c r="E40" s="1294">
        <f>SUM(E38:E39)</f>
        <v>0</v>
      </c>
      <c r="F40" s="1294">
        <f>SUM(F38:F39)</f>
        <v>0</v>
      </c>
      <c r="G40" s="1295"/>
      <c r="H40" s="1296">
        <f t="shared" ref="H40:S40" si="94">SUM(H38:H39)</f>
        <v>0</v>
      </c>
      <c r="I40" s="1293">
        <f t="shared" si="94"/>
        <v>0</v>
      </c>
      <c r="J40" s="1294">
        <f t="shared" ref="J40:K40" si="95">SUM(J38:J39)</f>
        <v>0</v>
      </c>
      <c r="K40" s="1294">
        <f t="shared" si="95"/>
        <v>0</v>
      </c>
      <c r="L40" s="1297"/>
      <c r="M40" s="1296">
        <f t="shared" si="94"/>
        <v>0</v>
      </c>
      <c r="N40" s="1293">
        <f t="shared" si="94"/>
        <v>0</v>
      </c>
      <c r="O40" s="1294">
        <f t="shared" ref="O40" si="96">SUM(O38:O39)</f>
        <v>0</v>
      </c>
      <c r="P40" s="1294">
        <f>SUM(P38:P39)</f>
        <v>0</v>
      </c>
      <c r="Q40" s="1295"/>
      <c r="R40" s="1296">
        <f t="shared" si="94"/>
        <v>0</v>
      </c>
      <c r="S40" s="1293">
        <f t="shared" si="94"/>
        <v>0</v>
      </c>
      <c r="T40" s="1294">
        <f t="shared" ref="T40:W40" si="97">SUM(T38:T39)</f>
        <v>0</v>
      </c>
      <c r="U40" s="1294">
        <f t="shared" ref="U40" si="98">SUM(U38:U39)</f>
        <v>0</v>
      </c>
      <c r="V40" s="1297"/>
      <c r="W40" s="1296">
        <f t="shared" si="97"/>
        <v>0</v>
      </c>
      <c r="X40" s="1293">
        <f t="shared" si="92"/>
        <v>0</v>
      </c>
      <c r="Y40" s="1294">
        <f t="shared" si="92"/>
        <v>0</v>
      </c>
      <c r="Z40" s="1294">
        <f t="shared" si="92"/>
        <v>0</v>
      </c>
      <c r="AA40" s="1295"/>
      <c r="AB40" s="1296">
        <f t="shared" si="93"/>
        <v>0</v>
      </c>
      <c r="AC40" s="1293">
        <f t="shared" si="93"/>
        <v>0</v>
      </c>
      <c r="AD40" s="1294">
        <f t="shared" si="93"/>
        <v>0</v>
      </c>
      <c r="AE40" s="1294">
        <f t="shared" si="93"/>
        <v>0</v>
      </c>
      <c r="AF40" s="1710"/>
      <c r="AG40" s="640"/>
      <c r="AH40" s="640"/>
    </row>
    <row r="41" spans="1:34" s="255" customFormat="1" ht="22.5" x14ac:dyDescent="0.3">
      <c r="A41" s="1620" t="s">
        <v>652</v>
      </c>
      <c r="B41" s="1450" t="str">
        <f>'15. finanszírozás be_ki (B8,K9)'!C12</f>
        <v>Belföldi kincstárjegy</v>
      </c>
      <c r="C41" s="882"/>
      <c r="D41" s="1293"/>
      <c r="E41" s="1294">
        <f>'15. finanszírozás be_ki (B8,K9)'!F12</f>
        <v>350000</v>
      </c>
      <c r="F41" s="1294">
        <f>'15. finanszírozás be_ki (B8,K9)'!G12</f>
        <v>200000</v>
      </c>
      <c r="G41" s="1295">
        <f t="shared" si="4"/>
        <v>57.142857142857146</v>
      </c>
      <c r="H41" s="1296"/>
      <c r="I41" s="1293"/>
      <c r="J41" s="1294"/>
      <c r="K41" s="1294"/>
      <c r="L41" s="1297"/>
      <c r="M41" s="1296"/>
      <c r="N41" s="1293"/>
      <c r="O41" s="1294"/>
      <c r="P41" s="1294"/>
      <c r="Q41" s="1295"/>
      <c r="R41" s="1296"/>
      <c r="S41" s="1293"/>
      <c r="T41" s="1294"/>
      <c r="U41" s="1294"/>
      <c r="V41" s="1297"/>
      <c r="W41" s="1296"/>
      <c r="X41" s="1293">
        <f t="shared" ref="X41" si="99">D41+I41+N41+S41</f>
        <v>0</v>
      </c>
      <c r="Y41" s="1294">
        <f t="shared" ref="Y41:Z41" si="100">E41+J41+O41+T41</f>
        <v>350000</v>
      </c>
      <c r="Z41" s="1294">
        <f t="shared" si="100"/>
        <v>200000</v>
      </c>
      <c r="AA41" s="1295">
        <f t="shared" si="44"/>
        <v>57.142857142857146</v>
      </c>
      <c r="AB41" s="1296">
        <f t="shared" ref="AB41" si="101">C41+H41+M41+R41</f>
        <v>0</v>
      </c>
      <c r="AC41" s="1293">
        <f t="shared" ref="AC41" si="102">D41+I41+N41+S41</f>
        <v>0</v>
      </c>
      <c r="AD41" s="1294">
        <f t="shared" ref="AD41:AE41" si="103">E41+J41+O41+T41</f>
        <v>350000</v>
      </c>
      <c r="AE41" s="1294">
        <f t="shared" si="103"/>
        <v>200000</v>
      </c>
      <c r="AF41" s="1710">
        <f t="shared" si="46"/>
        <v>57.142857142857146</v>
      </c>
      <c r="AG41" s="640"/>
      <c r="AH41" s="640"/>
    </row>
    <row r="42" spans="1:34" ht="40.5" x14ac:dyDescent="0.35">
      <c r="A42" s="1330" t="s">
        <v>429</v>
      </c>
      <c r="B42" s="1446" t="s">
        <v>428</v>
      </c>
      <c r="C42" s="878">
        <f>'15. finanszírozás be_ki (B8,K9)'!D13</f>
        <v>37193</v>
      </c>
      <c r="D42" s="1059">
        <f>'15. finanszírozás be_ki (B8,K9)'!E13</f>
        <v>90286</v>
      </c>
      <c r="E42" s="766">
        <f>'15. finanszírozás be_ki (B8,K9)'!F13</f>
        <v>99723</v>
      </c>
      <c r="F42" s="766">
        <f>'15. finanszírozás be_ki (B8,K9)'!G13</f>
        <v>99723</v>
      </c>
      <c r="G42" s="1277">
        <f t="shared" si="4"/>
        <v>100</v>
      </c>
      <c r="H42" s="1061"/>
      <c r="I42" s="1059"/>
      <c r="J42" s="766">
        <v>950</v>
      </c>
      <c r="K42" s="766">
        <v>950</v>
      </c>
      <c r="L42" s="1277">
        <f>K42/J42%</f>
        <v>100</v>
      </c>
      <c r="M42" s="1061"/>
      <c r="N42" s="1059"/>
      <c r="O42" s="766">
        <v>8938</v>
      </c>
      <c r="P42" s="766">
        <v>8938</v>
      </c>
      <c r="Q42" s="1277">
        <f t="shared" si="8"/>
        <v>100</v>
      </c>
      <c r="R42" s="1061"/>
      <c r="S42" s="1059"/>
      <c r="T42" s="766">
        <f>'3. Gesz költségvetés'!AD32</f>
        <v>4536</v>
      </c>
      <c r="U42" s="766">
        <f>'3. Gesz költségvetés'!AE32</f>
        <v>4536</v>
      </c>
      <c r="V42" s="1277">
        <f>U42/T42%</f>
        <v>100</v>
      </c>
      <c r="W42" s="1061"/>
      <c r="X42" s="1059">
        <f t="shared" ref="X42:Z46" si="104">D42+I42+N42+S42</f>
        <v>90286</v>
      </c>
      <c r="Y42" s="766">
        <f t="shared" si="104"/>
        <v>114147</v>
      </c>
      <c r="Z42" s="766">
        <f t="shared" si="104"/>
        <v>114147</v>
      </c>
      <c r="AA42" s="1277">
        <f t="shared" si="44"/>
        <v>100</v>
      </c>
      <c r="AB42" s="1061">
        <f t="shared" ref="AB42:AE44" si="105">C42+H42+M42+R42</f>
        <v>37193</v>
      </c>
      <c r="AC42" s="1059">
        <f t="shared" si="105"/>
        <v>90286</v>
      </c>
      <c r="AD42" s="766">
        <f t="shared" si="105"/>
        <v>114147</v>
      </c>
      <c r="AE42" s="766">
        <f t="shared" si="105"/>
        <v>114147</v>
      </c>
      <c r="AF42" s="1707">
        <f t="shared" si="46"/>
        <v>100</v>
      </c>
      <c r="AG42" s="256"/>
    </row>
    <row r="43" spans="1:34" ht="40.5" x14ac:dyDescent="0.35">
      <c r="A43" s="1330" t="s">
        <v>429</v>
      </c>
      <c r="B43" s="1446" t="s">
        <v>430</v>
      </c>
      <c r="C43" s="878">
        <f>'15. finanszírozás be_ki (B8,K9)'!D14</f>
        <v>442807</v>
      </c>
      <c r="D43" s="1059">
        <f>'15. finanszírozás be_ki (B8,K9)'!E14</f>
        <v>325163</v>
      </c>
      <c r="E43" s="766">
        <f>'15. finanszírozás be_ki (B8,K9)'!F14</f>
        <v>277334</v>
      </c>
      <c r="F43" s="766">
        <f>'15. finanszírozás be_ki (B8,K9)'!G14</f>
        <v>330318</v>
      </c>
      <c r="G43" s="1277">
        <f t="shared" si="4"/>
        <v>119.10476176739959</v>
      </c>
      <c r="H43" s="1061"/>
      <c r="I43" s="1059"/>
      <c r="J43" s="766"/>
      <c r="K43" s="766"/>
      <c r="L43" s="1277"/>
      <c r="M43" s="1061"/>
      <c r="N43" s="1059"/>
      <c r="O43" s="766"/>
      <c r="P43" s="766"/>
      <c r="Q43" s="1277"/>
      <c r="R43" s="1061"/>
      <c r="S43" s="1059"/>
      <c r="T43" s="766"/>
      <c r="U43" s="766"/>
      <c r="V43" s="1277"/>
      <c r="W43" s="1061"/>
      <c r="X43" s="1059">
        <f t="shared" si="104"/>
        <v>325163</v>
      </c>
      <c r="Y43" s="766">
        <f t="shared" si="104"/>
        <v>277334</v>
      </c>
      <c r="Z43" s="766">
        <f t="shared" si="104"/>
        <v>330318</v>
      </c>
      <c r="AA43" s="1277">
        <f t="shared" si="44"/>
        <v>119.10476176739959</v>
      </c>
      <c r="AB43" s="1061">
        <f t="shared" si="105"/>
        <v>442807</v>
      </c>
      <c r="AC43" s="1059">
        <f t="shared" si="105"/>
        <v>325163</v>
      </c>
      <c r="AD43" s="766">
        <f t="shared" si="105"/>
        <v>277334</v>
      </c>
      <c r="AE43" s="766">
        <f t="shared" si="105"/>
        <v>330318</v>
      </c>
      <c r="AF43" s="1707">
        <f t="shared" si="46"/>
        <v>119.10476176739959</v>
      </c>
      <c r="AG43" s="256"/>
    </row>
    <row r="44" spans="1:34" s="255" customFormat="1" ht="22.5" x14ac:dyDescent="0.3">
      <c r="A44" s="1620" t="s">
        <v>432</v>
      </c>
      <c r="B44" s="1449" t="s">
        <v>431</v>
      </c>
      <c r="C44" s="882">
        <f>SUM(C42:C43)</f>
        <v>480000</v>
      </c>
      <c r="D44" s="1293">
        <f>SUM(D42:D43)</f>
        <v>415449</v>
      </c>
      <c r="E44" s="1294">
        <f>SUM(E42:E43)</f>
        <v>377057</v>
      </c>
      <c r="F44" s="1294">
        <f>SUM(F42:F43)</f>
        <v>430041</v>
      </c>
      <c r="G44" s="1295">
        <f t="shared" si="4"/>
        <v>114.05198683488172</v>
      </c>
      <c r="H44" s="1296">
        <f t="shared" ref="H44:R44" si="106">SUM(H42:H43)</f>
        <v>0</v>
      </c>
      <c r="I44" s="1293">
        <f t="shared" si="106"/>
        <v>0</v>
      </c>
      <c r="J44" s="1294">
        <f t="shared" ref="J44:K44" si="107">SUM(J42:J43)</f>
        <v>950</v>
      </c>
      <c r="K44" s="1294">
        <f t="shared" si="107"/>
        <v>950</v>
      </c>
      <c r="L44" s="1295">
        <f t="shared" ref="L44" si="108">K44/J44%</f>
        <v>100</v>
      </c>
      <c r="M44" s="1296">
        <f t="shared" si="106"/>
        <v>0</v>
      </c>
      <c r="N44" s="1293">
        <f t="shared" si="106"/>
        <v>0</v>
      </c>
      <c r="O44" s="1294">
        <f t="shared" ref="O44:P44" si="109">SUM(O42:O43)</f>
        <v>8938</v>
      </c>
      <c r="P44" s="1294">
        <f t="shared" si="109"/>
        <v>8938</v>
      </c>
      <c r="Q44" s="1295">
        <f t="shared" si="8"/>
        <v>100</v>
      </c>
      <c r="R44" s="1296">
        <f t="shared" si="106"/>
        <v>0</v>
      </c>
      <c r="S44" s="1293">
        <f t="shared" ref="S44:W44" si="110">SUM(S42:S43)</f>
        <v>0</v>
      </c>
      <c r="T44" s="1294">
        <f t="shared" si="110"/>
        <v>4536</v>
      </c>
      <c r="U44" s="1294">
        <f t="shared" ref="U44" si="111">SUM(U42:U43)</f>
        <v>4536</v>
      </c>
      <c r="V44" s="1295">
        <f>U44/T44%</f>
        <v>100</v>
      </c>
      <c r="W44" s="1296">
        <f t="shared" si="110"/>
        <v>0</v>
      </c>
      <c r="X44" s="1293">
        <f t="shared" si="104"/>
        <v>415449</v>
      </c>
      <c r="Y44" s="1294">
        <f t="shared" si="104"/>
        <v>391481</v>
      </c>
      <c r="Z44" s="1294">
        <f t="shared" si="104"/>
        <v>444465</v>
      </c>
      <c r="AA44" s="1295">
        <f t="shared" si="44"/>
        <v>113.53424559557169</v>
      </c>
      <c r="AB44" s="1296">
        <f t="shared" si="105"/>
        <v>480000</v>
      </c>
      <c r="AC44" s="1293">
        <f t="shared" si="105"/>
        <v>415449</v>
      </c>
      <c r="AD44" s="1294">
        <f t="shared" si="105"/>
        <v>391481</v>
      </c>
      <c r="AE44" s="1294">
        <f t="shared" si="105"/>
        <v>444465</v>
      </c>
      <c r="AF44" s="1710">
        <f t="shared" si="46"/>
        <v>113.53424559557169</v>
      </c>
      <c r="AG44" s="640"/>
    </row>
    <row r="45" spans="1:34" ht="23.25" x14ac:dyDescent="0.35">
      <c r="A45" s="1330" t="s">
        <v>732</v>
      </c>
      <c r="B45" s="1467" t="s">
        <v>979</v>
      </c>
      <c r="C45" s="878"/>
      <c r="D45" s="1059"/>
      <c r="E45" s="766"/>
      <c r="F45" s="766">
        <f>'15. finanszírozás be_ki (B8,K9)'!G16</f>
        <v>12784</v>
      </c>
      <c r="G45" s="1277"/>
      <c r="H45" s="1061"/>
      <c r="I45" s="1059"/>
      <c r="J45" s="766"/>
      <c r="K45" s="766"/>
      <c r="L45" s="998"/>
      <c r="M45" s="1061"/>
      <c r="N45" s="1059"/>
      <c r="O45" s="766"/>
      <c r="P45" s="766"/>
      <c r="Q45" s="1277"/>
      <c r="R45" s="1061"/>
      <c r="S45" s="1059"/>
      <c r="T45" s="766"/>
      <c r="U45" s="766"/>
      <c r="V45" s="1277"/>
      <c r="W45" s="1061"/>
      <c r="X45" s="1059"/>
      <c r="Y45" s="766">
        <f t="shared" ref="Y45" si="112">E45+J45+O45+T45</f>
        <v>0</v>
      </c>
      <c r="Z45" s="766">
        <f t="shared" ref="Z45" si="113">F45+K45+P45+U45</f>
        <v>12784</v>
      </c>
      <c r="AA45" s="1277"/>
      <c r="AB45" s="1061"/>
      <c r="AC45" s="1059"/>
      <c r="AD45" s="766">
        <f t="shared" ref="AD45" si="114">E45+J45+O45+T45</f>
        <v>0</v>
      </c>
      <c r="AE45" s="766">
        <f t="shared" ref="AE45" si="115">F45+K45+P45+U45</f>
        <v>12784</v>
      </c>
      <c r="AF45" s="1707"/>
      <c r="AG45" s="256"/>
    </row>
    <row r="46" spans="1:34" ht="23.25" x14ac:dyDescent="0.35">
      <c r="A46" s="1330" t="s">
        <v>434</v>
      </c>
      <c r="B46" s="1467" t="s">
        <v>516</v>
      </c>
      <c r="C46" s="878"/>
      <c r="D46" s="1059"/>
      <c r="E46" s="766"/>
      <c r="F46" s="766"/>
      <c r="G46" s="1277"/>
      <c r="H46" s="1061">
        <f>'2.Kiadások_részletes '!H35-'2.Bevételek_részletes'!H35</f>
        <v>311929</v>
      </c>
      <c r="I46" s="1059">
        <f>'2.Kiadások_részletes '!I35-'2.Bevételek_részletes'!I35</f>
        <v>439179.98200000002</v>
      </c>
      <c r="J46" s="766">
        <f>'2.Kiadások_részletes '!J35-'2.Bevételek_részletes'!J35-J44</f>
        <v>432558.98200000002</v>
      </c>
      <c r="K46" s="1148">
        <v>377762</v>
      </c>
      <c r="L46" s="1277">
        <f>K46/J46%</f>
        <v>87.331905178193708</v>
      </c>
      <c r="M46" s="1061">
        <f>'2.Kiadások_részletes '!M35-'2.Bevételek_részletes'!M35</f>
        <v>0</v>
      </c>
      <c r="N46" s="1059"/>
      <c r="O46" s="1148">
        <f>'2.Kiadások_részletes '!O35-'2.Bevételek_részletes'!O35-O44</f>
        <v>5326</v>
      </c>
      <c r="P46" s="1148">
        <v>5326</v>
      </c>
      <c r="Q46" s="1277">
        <f>P46/O46%</f>
        <v>100</v>
      </c>
      <c r="R46" s="1061">
        <f>'3. Gesz költségvetés'!AB33</f>
        <v>467687</v>
      </c>
      <c r="S46" s="1059">
        <f>'3. Gesz költségvetés'!AC33</f>
        <v>491297</v>
      </c>
      <c r="T46" s="766">
        <f>'3. Gesz költségvetés'!AD33</f>
        <v>506121</v>
      </c>
      <c r="U46" s="766">
        <f>'3. Gesz költségvetés'!AE33</f>
        <v>470585</v>
      </c>
      <c r="V46" s="1277">
        <f>U46/T46%</f>
        <v>92.978754092400834</v>
      </c>
      <c r="W46" s="1061">
        <f>'3. Gesz költségvetés'!AG33</f>
        <v>0</v>
      </c>
      <c r="X46" s="1059">
        <f t="shared" si="104"/>
        <v>930476.98200000008</v>
      </c>
      <c r="Y46" s="766">
        <f t="shared" si="104"/>
        <v>944005.98200000008</v>
      </c>
      <c r="Z46" s="766">
        <f t="shared" si="104"/>
        <v>853673</v>
      </c>
      <c r="AA46" s="1277">
        <f>Z46/Y46%</f>
        <v>90.430888816126156</v>
      </c>
      <c r="AB46" s="1061"/>
      <c r="AC46" s="1059"/>
      <c r="AD46" s="766"/>
      <c r="AE46" s="766"/>
      <c r="AF46" s="1707"/>
      <c r="AG46" s="256"/>
    </row>
    <row r="47" spans="1:34" ht="22.5" x14ac:dyDescent="0.3">
      <c r="A47" s="1621" t="s">
        <v>442</v>
      </c>
      <c r="B47" s="1622" t="s">
        <v>441</v>
      </c>
      <c r="C47" s="891">
        <f t="shared" ref="C47:J47" si="116">C46+C44+C40</f>
        <v>480000</v>
      </c>
      <c r="D47" s="1060">
        <f t="shared" si="116"/>
        <v>415449</v>
      </c>
      <c r="E47" s="1052">
        <f>E46+E44+E40+E41</f>
        <v>727057</v>
      </c>
      <c r="F47" s="1052">
        <f>F46+F44+F40+F41+F45</f>
        <v>642825</v>
      </c>
      <c r="G47" s="1152">
        <f t="shared" si="4"/>
        <v>88.414663499560561</v>
      </c>
      <c r="H47" s="1065">
        <f t="shared" si="116"/>
        <v>311929</v>
      </c>
      <c r="I47" s="1060">
        <f t="shared" si="116"/>
        <v>439179.98200000002</v>
      </c>
      <c r="J47" s="1052">
        <f t="shared" si="116"/>
        <v>433508.98200000002</v>
      </c>
      <c r="K47" s="1052">
        <f t="shared" ref="K47" si="117">K46+K44+K40</f>
        <v>378712</v>
      </c>
      <c r="L47" s="1152">
        <f>K47/J47%</f>
        <v>87.359666287145117</v>
      </c>
      <c r="M47" s="1065">
        <f t="shared" ref="M47:R47" si="118">M46+M44+M40</f>
        <v>0</v>
      </c>
      <c r="N47" s="1060">
        <f t="shared" ref="N47:O47" si="119">N46+N44+N40</f>
        <v>0</v>
      </c>
      <c r="O47" s="1052">
        <f t="shared" si="119"/>
        <v>14264</v>
      </c>
      <c r="P47" s="1052">
        <f t="shared" ref="P47" si="120">P46+P44+P40</f>
        <v>14264</v>
      </c>
      <c r="Q47" s="1152">
        <f t="shared" si="8"/>
        <v>100.00000000000001</v>
      </c>
      <c r="R47" s="1065">
        <f t="shared" si="118"/>
        <v>467687</v>
      </c>
      <c r="S47" s="1060">
        <f t="shared" ref="S47:W47" si="121">S46+S44+S40</f>
        <v>491297</v>
      </c>
      <c r="T47" s="1052">
        <f t="shared" si="121"/>
        <v>510657</v>
      </c>
      <c r="U47" s="1052">
        <f t="shared" ref="U47" si="122">U46+U44+U40</f>
        <v>475121</v>
      </c>
      <c r="V47" s="1152">
        <f t="shared" ref="V47:V48" si="123">U47/T47%</f>
        <v>93.041121535590435</v>
      </c>
      <c r="W47" s="1065">
        <f t="shared" si="121"/>
        <v>0</v>
      </c>
      <c r="X47" s="1060">
        <f>X40+X44+X46</f>
        <v>1345925.9820000001</v>
      </c>
      <c r="Y47" s="1052">
        <f>Y40+Y44+Y46+Y41+1</f>
        <v>1685487.9820000001</v>
      </c>
      <c r="Z47" s="1052">
        <f>Z40+Z44+Z46+Z41+Z45</f>
        <v>1510922</v>
      </c>
      <c r="AA47" s="1152">
        <f>Z47/Y47%</f>
        <v>89.643000492186232</v>
      </c>
      <c r="AB47" s="1065">
        <f>AB40+AB44+AB46</f>
        <v>480000</v>
      </c>
      <c r="AC47" s="1060">
        <f>AC40+AC44+AC46</f>
        <v>415449</v>
      </c>
      <c r="AD47" s="1052">
        <f>AD40+AD44+AD46+AD41+1</f>
        <v>741482</v>
      </c>
      <c r="AE47" s="1052">
        <f>AE40+AE44+AE46+AE41+AE45</f>
        <v>657249</v>
      </c>
      <c r="AF47" s="1153">
        <f>AE47/AD47%</f>
        <v>88.639913039021849</v>
      </c>
      <c r="AG47" s="256"/>
    </row>
    <row r="48" spans="1:34" ht="23.25" thickBot="1" x14ac:dyDescent="0.35">
      <c r="A48" s="1332"/>
      <c r="B48" s="1448" t="s">
        <v>671</v>
      </c>
      <c r="C48" s="892">
        <f t="shared" ref="C48:J48" si="124">C47+C35</f>
        <v>1996427.882</v>
      </c>
      <c r="D48" s="1298">
        <f t="shared" si="124"/>
        <v>1822931.5822662751</v>
      </c>
      <c r="E48" s="1299">
        <f t="shared" si="124"/>
        <v>2329152.5822662748</v>
      </c>
      <c r="F48" s="1299">
        <f t="shared" ref="F48" si="125">F47+F35</f>
        <v>2257654.1</v>
      </c>
      <c r="G48" s="1300">
        <f t="shared" si="4"/>
        <v>96.930279157722396</v>
      </c>
      <c r="H48" s="1301">
        <f t="shared" si="124"/>
        <v>313279</v>
      </c>
      <c r="I48" s="1298">
        <f t="shared" si="124"/>
        <v>557538.35600000003</v>
      </c>
      <c r="J48" s="1299">
        <f t="shared" si="124"/>
        <v>565460.35600000003</v>
      </c>
      <c r="K48" s="1299">
        <f t="shared" ref="K48" si="126">K47+K35</f>
        <v>498246.83199999999</v>
      </c>
      <c r="L48" s="1300">
        <f>K48/J48%</f>
        <v>88.113486067270813</v>
      </c>
      <c r="M48" s="1301">
        <f t="shared" ref="M48:R48" si="127">M47+M35</f>
        <v>264750</v>
      </c>
      <c r="N48" s="1298">
        <f t="shared" ref="N48:O48" si="128">N47+N35</f>
        <v>271050</v>
      </c>
      <c r="O48" s="1299">
        <f t="shared" si="128"/>
        <v>322749</v>
      </c>
      <c r="P48" s="1299">
        <f t="shared" ref="P48" si="129">P47+P35</f>
        <v>328419</v>
      </c>
      <c r="Q48" s="1300">
        <f t="shared" si="8"/>
        <v>101.75678313488191</v>
      </c>
      <c r="R48" s="1301">
        <f t="shared" si="127"/>
        <v>512325</v>
      </c>
      <c r="S48" s="1298">
        <f t="shared" ref="S48:W48" si="130">S47+S35</f>
        <v>518833</v>
      </c>
      <c r="T48" s="1299">
        <f t="shared" si="130"/>
        <v>542029</v>
      </c>
      <c r="U48" s="1299">
        <f t="shared" si="130"/>
        <v>508946</v>
      </c>
      <c r="V48" s="1300">
        <f t="shared" si="123"/>
        <v>93.896452034854221</v>
      </c>
      <c r="W48" s="1301">
        <f t="shared" si="130"/>
        <v>2</v>
      </c>
      <c r="X48" s="1298">
        <f>X35+X47</f>
        <v>3170352.9382662755</v>
      </c>
      <c r="Y48" s="1299">
        <f>Y35+Y47</f>
        <v>3759391.9382662755</v>
      </c>
      <c r="Z48" s="1299">
        <f>Z35+Z47</f>
        <v>3593265.932</v>
      </c>
      <c r="AA48" s="1300">
        <f t="shared" si="44"/>
        <v>95.581040524790623</v>
      </c>
      <c r="AB48" s="1301">
        <f>AB35+AB47</f>
        <v>2307165.8820000002</v>
      </c>
      <c r="AC48" s="1298">
        <f>AC35+AC47</f>
        <v>2239875.9562662751</v>
      </c>
      <c r="AD48" s="1299">
        <f>AD35+AD47</f>
        <v>2815385.9562662751</v>
      </c>
      <c r="AE48" s="1299">
        <f>AE35+AE47</f>
        <v>2739592.932</v>
      </c>
      <c r="AF48" s="1596">
        <f>AE48/AD48%</f>
        <v>97.307899327352246</v>
      </c>
      <c r="AG48" s="256"/>
    </row>
    <row r="50" spans="3:32" x14ac:dyDescent="0.3">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row>
    <row r="51" spans="3:32" x14ac:dyDescent="0.3">
      <c r="I51" s="256"/>
      <c r="J51" s="256"/>
      <c r="K51" s="256"/>
      <c r="L51" s="256"/>
    </row>
    <row r="52" spans="3:32" x14ac:dyDescent="0.3">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row>
    <row r="55" spans="3:32" x14ac:dyDescent="0.3">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row>
    <row r="57" spans="3:32" x14ac:dyDescent="0.3">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row>
    <row r="58" spans="3:32" x14ac:dyDescent="0.3">
      <c r="X58" s="256"/>
      <c r="Y58" s="256"/>
      <c r="Z58" s="256"/>
      <c r="AA58" s="256"/>
      <c r="AB58" s="256"/>
      <c r="AC58" s="256"/>
      <c r="AD58" s="256"/>
      <c r="AE58" s="256"/>
      <c r="AF58" s="256"/>
    </row>
    <row r="59" spans="3:32" x14ac:dyDescent="0.3">
      <c r="C59" s="256"/>
      <c r="D59" s="256"/>
      <c r="E59" s="256"/>
      <c r="F59" s="256"/>
      <c r="G59" s="256"/>
      <c r="X59" s="256"/>
      <c r="Y59" s="256"/>
      <c r="Z59" s="256"/>
      <c r="AA59" s="256"/>
      <c r="AC59" s="256"/>
      <c r="AD59" s="256"/>
      <c r="AE59" s="256"/>
      <c r="AF59" s="256"/>
    </row>
    <row r="60" spans="3:32" x14ac:dyDescent="0.3">
      <c r="C60" s="256"/>
      <c r="D60" s="256"/>
      <c r="E60" s="256"/>
      <c r="F60" s="256"/>
      <c r="G60" s="256"/>
    </row>
    <row r="61" spans="3:32" x14ac:dyDescent="0.3">
      <c r="C61" s="256"/>
      <c r="D61" s="256"/>
      <c r="E61" s="256"/>
      <c r="F61" s="256"/>
      <c r="G61" s="256"/>
    </row>
    <row r="64" spans="3:32" x14ac:dyDescent="0.3">
      <c r="C64" s="256"/>
      <c r="D64" s="256"/>
      <c r="E64" s="256"/>
      <c r="F64" s="256"/>
      <c r="G64" s="256"/>
    </row>
    <row r="65" spans="4:32" x14ac:dyDescent="0.3">
      <c r="D65" s="256"/>
      <c r="E65" s="256"/>
      <c r="F65" s="256"/>
      <c r="G65" s="256"/>
    </row>
    <row r="66" spans="4:32" x14ac:dyDescent="0.3">
      <c r="AC66" s="256"/>
      <c r="AD66" s="256"/>
      <c r="AE66" s="256"/>
      <c r="AF66" s="256"/>
    </row>
    <row r="67" spans="4:32" x14ac:dyDescent="0.3">
      <c r="AC67" s="256"/>
      <c r="AD67" s="256"/>
      <c r="AE67" s="256"/>
      <c r="AF67" s="256"/>
    </row>
    <row r="69" spans="4:32" x14ac:dyDescent="0.3">
      <c r="X69" s="256"/>
      <c r="Y69" s="256"/>
      <c r="Z69" s="256"/>
      <c r="AA69" s="256"/>
      <c r="AC69" s="256"/>
      <c r="AD69" s="256"/>
      <c r="AE69" s="256"/>
      <c r="AF69" s="256"/>
    </row>
    <row r="70" spans="4:32" x14ac:dyDescent="0.3">
      <c r="X70" s="256"/>
      <c r="Y70" s="256"/>
      <c r="Z70" s="256"/>
      <c r="AA70" s="256"/>
      <c r="AC70" s="256"/>
      <c r="AD70" s="256"/>
      <c r="AE70" s="256"/>
      <c r="AF70" s="256"/>
    </row>
    <row r="71" spans="4:32" x14ac:dyDescent="0.3">
      <c r="X71" s="256"/>
      <c r="Y71" s="256"/>
      <c r="Z71" s="256"/>
      <c r="AA71" s="256"/>
      <c r="AC71" s="256"/>
      <c r="AD71" s="256"/>
      <c r="AE71" s="256"/>
      <c r="AF71" s="256"/>
    </row>
    <row r="72" spans="4:32" x14ac:dyDescent="0.3">
      <c r="X72" s="256"/>
      <c r="Y72" s="256"/>
      <c r="Z72" s="256"/>
      <c r="AA72" s="256"/>
      <c r="AC72" s="256"/>
      <c r="AD72" s="256"/>
      <c r="AE72" s="256"/>
      <c r="AF72" s="256"/>
    </row>
    <row r="73" spans="4:32" x14ac:dyDescent="0.3">
      <c r="X73" s="256"/>
      <c r="Y73" s="256"/>
      <c r="Z73" s="256"/>
      <c r="AA73" s="256"/>
      <c r="AB73" s="256"/>
      <c r="AC73" s="256"/>
      <c r="AD73" s="256"/>
      <c r="AE73" s="256"/>
      <c r="AF73" s="256"/>
    </row>
    <row r="74" spans="4:32" x14ac:dyDescent="0.3">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row>
  </sheetData>
  <mergeCells count="9">
    <mergeCell ref="A1:AF1"/>
    <mergeCell ref="A2:AF2"/>
    <mergeCell ref="A3:AF3"/>
    <mergeCell ref="D6:G6"/>
    <mergeCell ref="I6:L6"/>
    <mergeCell ref="N6:Q6"/>
    <mergeCell ref="S6:V6"/>
    <mergeCell ref="X6:AA6"/>
    <mergeCell ref="AC6:AF6"/>
  </mergeCells>
  <phoneticPr fontId="62" type="noConversion"/>
  <pageMargins left="0.16" right="0.24" top="0.28999999999999998" bottom="0.35" header="0.31496062992125984" footer="0.31496062992125984"/>
  <pageSetup paperSize="8" scale="43" orientation="landscape" verticalDpi="300"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Munka31">
    <pageSetUpPr fitToPage="1"/>
  </sheetPr>
  <dimension ref="A1:S35"/>
  <sheetViews>
    <sheetView view="pageBreakPreview" topLeftCell="E1" zoomScaleSheetLayoutView="100" workbookViewId="0">
      <selection activeCell="O24" sqref="O24"/>
    </sheetView>
  </sheetViews>
  <sheetFormatPr defaultRowHeight="18.75" x14ac:dyDescent="0.3"/>
  <cols>
    <col min="1" max="1" width="13.7109375" style="354" bestFit="1" customWidth="1"/>
    <col min="2" max="2" width="34.140625" style="354" bestFit="1" customWidth="1"/>
    <col min="3" max="3" width="14" style="354" bestFit="1" customWidth="1"/>
    <col min="4" max="5" width="11.5703125" style="354" bestFit="1" customWidth="1"/>
    <col min="6" max="6" width="15.42578125" style="354" customWidth="1"/>
    <col min="7" max="7" width="14.140625" style="354" customWidth="1"/>
    <col min="8" max="8" width="13.7109375" style="354" customWidth="1"/>
    <col min="9" max="9" width="12.7109375" style="354" customWidth="1"/>
    <col min="10" max="10" width="14.85546875" style="354" bestFit="1" customWidth="1"/>
    <col min="11" max="11" width="16.5703125" style="354" bestFit="1" customWidth="1"/>
    <col min="12" max="12" width="13.42578125" style="354" customWidth="1"/>
    <col min="13" max="13" width="14.140625" style="354" bestFit="1" customWidth="1"/>
    <col min="14" max="14" width="14.85546875" style="354" bestFit="1" customWidth="1"/>
    <col min="15" max="15" width="18" style="354" customWidth="1"/>
    <col min="16" max="16" width="16.140625" style="353" bestFit="1" customWidth="1"/>
    <col min="17" max="17" width="14.7109375" style="354" bestFit="1" customWidth="1"/>
    <col min="18" max="18" width="19.28515625" style="354" customWidth="1"/>
    <col min="19" max="19" width="9.7109375" style="354" bestFit="1" customWidth="1"/>
    <col min="20" max="16384" width="9.140625" style="354"/>
  </cols>
  <sheetData>
    <row r="1" spans="1:19" x14ac:dyDescent="0.3">
      <c r="A1" s="2533" t="str">
        <f>Tartalomjegyzék_2017!A1</f>
        <v>Pilisvörösvár Város Önkormányzata Képviselő-testületének 7/2018. (IV. 27.) önkormányzati rendelete</v>
      </c>
      <c r="B1" s="2533"/>
      <c r="C1" s="2533"/>
      <c r="D1" s="2533"/>
      <c r="E1" s="2533"/>
      <c r="F1" s="2533"/>
      <c r="G1" s="2533"/>
      <c r="H1" s="2533"/>
      <c r="I1" s="2533"/>
      <c r="J1" s="2533"/>
      <c r="K1" s="2533"/>
      <c r="L1" s="2533"/>
      <c r="M1" s="2533"/>
      <c r="N1" s="2533"/>
      <c r="O1" s="2533"/>
    </row>
    <row r="2" spans="1:19" x14ac:dyDescent="0.3">
      <c r="A2" s="2533" t="str">
        <f>Tartalomjegyzék_2017!A2</f>
        <v>az Önkormányzat  2017. évi zárszámadásáról</v>
      </c>
      <c r="B2" s="2533"/>
      <c r="C2" s="2533"/>
      <c r="D2" s="2533"/>
      <c r="E2" s="2533"/>
      <c r="F2" s="2533"/>
      <c r="G2" s="2533"/>
      <c r="H2" s="2533"/>
      <c r="I2" s="2533"/>
      <c r="J2" s="2533"/>
      <c r="K2" s="2533"/>
      <c r="L2" s="2533"/>
      <c r="M2" s="2533"/>
      <c r="N2" s="2533"/>
      <c r="O2" s="2533"/>
    </row>
    <row r="3" spans="1:19" x14ac:dyDescent="0.3">
      <c r="A3" s="489"/>
      <c r="B3" s="489"/>
      <c r="C3" s="489"/>
      <c r="D3" s="489"/>
      <c r="E3" s="489"/>
      <c r="F3" s="489"/>
      <c r="G3" s="489"/>
      <c r="H3" s="489"/>
      <c r="I3" s="489"/>
      <c r="J3" s="489"/>
      <c r="K3" s="489"/>
      <c r="L3" s="489"/>
      <c r="M3" s="489"/>
      <c r="N3" s="489"/>
      <c r="O3" s="489"/>
    </row>
    <row r="4" spans="1:19" ht="17.25" customHeight="1" x14ac:dyDescent="0.3">
      <c r="A4" s="2533" t="str">
        <f>Tartalomjegyzék_2017!B35</f>
        <v>Pilisvörösvár Város Önkormányzatának vagyonkimutatása</v>
      </c>
      <c r="B4" s="2533"/>
      <c r="C4" s="2533"/>
      <c r="D4" s="2533"/>
      <c r="E4" s="2533"/>
      <c r="F4" s="2533"/>
      <c r="G4" s="2533"/>
      <c r="H4" s="2533"/>
      <c r="I4" s="2533"/>
      <c r="J4" s="2533"/>
      <c r="K4" s="2533"/>
      <c r="L4" s="2533"/>
      <c r="M4" s="2533"/>
      <c r="N4" s="2533"/>
      <c r="O4" s="2533"/>
    </row>
    <row r="5" spans="1:19" ht="24" customHeight="1" x14ac:dyDescent="0.3">
      <c r="B5" s="355"/>
      <c r="C5" s="356"/>
      <c r="D5" s="356"/>
      <c r="E5" s="356"/>
      <c r="F5" s="355"/>
      <c r="G5" s="357"/>
      <c r="H5" s="357"/>
      <c r="I5" s="357"/>
      <c r="J5" s="358"/>
      <c r="K5" s="358"/>
      <c r="L5" s="358"/>
      <c r="M5" s="358"/>
      <c r="N5" s="357"/>
      <c r="O5" s="359" t="s">
        <v>21</v>
      </c>
    </row>
    <row r="6" spans="1:19" x14ac:dyDescent="0.3">
      <c r="B6" s="360"/>
      <c r="C6" s="361"/>
      <c r="D6" s="361"/>
      <c r="E6" s="361"/>
      <c r="F6" s="361"/>
      <c r="G6" s="360"/>
      <c r="H6" s="362"/>
      <c r="I6" s="360"/>
      <c r="J6" s="360"/>
      <c r="K6" s="360"/>
      <c r="L6" s="361"/>
      <c r="M6" s="361"/>
      <c r="N6" s="361"/>
      <c r="O6" s="363" t="s">
        <v>358</v>
      </c>
    </row>
    <row r="7" spans="1:19" x14ac:dyDescent="0.3">
      <c r="A7" s="364" t="s">
        <v>158</v>
      </c>
      <c r="B7" s="364" t="s">
        <v>458</v>
      </c>
      <c r="C7" s="364" t="s">
        <v>582</v>
      </c>
      <c r="D7" s="364" t="s">
        <v>583</v>
      </c>
      <c r="E7" s="364" t="s">
        <v>584</v>
      </c>
      <c r="F7" s="364" t="s">
        <v>585</v>
      </c>
      <c r="G7" s="364" t="s">
        <v>586</v>
      </c>
      <c r="H7" s="364" t="s">
        <v>587</v>
      </c>
      <c r="I7" s="364" t="s">
        <v>588</v>
      </c>
      <c r="J7" s="364" t="s">
        <v>589</v>
      </c>
      <c r="K7" s="364" t="s">
        <v>590</v>
      </c>
      <c r="L7" s="364" t="s">
        <v>591</v>
      </c>
      <c r="M7" s="364" t="s">
        <v>592</v>
      </c>
      <c r="N7" s="364" t="s">
        <v>593</v>
      </c>
      <c r="O7" s="364" t="s">
        <v>144</v>
      </c>
    </row>
    <row r="8" spans="1:19" ht="27.75" customHeight="1" x14ac:dyDescent="0.3">
      <c r="A8" s="365"/>
      <c r="B8" s="366" t="s">
        <v>64</v>
      </c>
      <c r="C8" s="367"/>
      <c r="D8" s="367"/>
      <c r="E8" s="367"/>
      <c r="F8" s="367"/>
      <c r="G8" s="367"/>
      <c r="H8" s="367"/>
      <c r="I8" s="367"/>
      <c r="J8" s="367"/>
      <c r="K8" s="367"/>
      <c r="L8" s="367"/>
      <c r="M8" s="367"/>
      <c r="N8" s="367"/>
      <c r="O8" s="367"/>
    </row>
    <row r="9" spans="1:19" ht="27.75" customHeight="1" x14ac:dyDescent="0.3">
      <c r="A9" s="365"/>
      <c r="B9" s="366"/>
      <c r="C9" s="367"/>
      <c r="D9" s="367"/>
      <c r="E9" s="367"/>
      <c r="F9" s="367"/>
      <c r="G9" s="367"/>
      <c r="H9" s="367"/>
      <c r="I9" s="367"/>
      <c r="J9" s="367"/>
      <c r="K9" s="367"/>
      <c r="L9" s="367"/>
      <c r="M9" s="367"/>
      <c r="N9" s="367"/>
      <c r="O9" s="367"/>
      <c r="Q9" s="368"/>
    </row>
    <row r="10" spans="1:19" ht="27.75" customHeight="1" x14ac:dyDescent="0.3">
      <c r="A10" s="365" t="s">
        <v>387</v>
      </c>
      <c r="B10" s="367" t="s">
        <v>981</v>
      </c>
      <c r="C10" s="369">
        <v>0</v>
      </c>
      <c r="D10" s="369">
        <v>0</v>
      </c>
      <c r="E10" s="369">
        <f>('2.Bevételek_részletes'!AC14/2)+('2.Bevételek_részletes'!AC16/2)+('2.Bevételek_részletes'!AC15/2)-25000</f>
        <v>291100</v>
      </c>
      <c r="F10" s="369">
        <v>0</v>
      </c>
      <c r="G10" s="369">
        <v>0</v>
      </c>
      <c r="H10" s="369">
        <v>0</v>
      </c>
      <c r="I10" s="369">
        <v>0</v>
      </c>
      <c r="J10" s="369">
        <v>0</v>
      </c>
      <c r="K10" s="369">
        <f>('2.Bevételek_részletes'!AC14/2)+('2.Bevételek_részletes'!AC16/2)+('2.Bevételek_részletes'!AC15/2)-25000</f>
        <v>291100</v>
      </c>
      <c r="L10" s="369">
        <v>0</v>
      </c>
      <c r="M10" s="369">
        <v>0</v>
      </c>
      <c r="N10" s="369">
        <f>50000</f>
        <v>50000</v>
      </c>
      <c r="O10" s="370">
        <f>SUM(C10:N10)</f>
        <v>632200</v>
      </c>
      <c r="P10" s="353">
        <f>O10-'2.Bevételek_részletes'!AC17-'2.Bevételek_részletes'!AC26-'2.Bevételek_részletes'!AC31</f>
        <v>-300724.25436000002</v>
      </c>
      <c r="Q10" s="368">
        <f>639879-O10</f>
        <v>7679</v>
      </c>
      <c r="R10" s="371"/>
    </row>
    <row r="11" spans="1:19" ht="27.75" customHeight="1" x14ac:dyDescent="0.3">
      <c r="A11" s="365" t="s">
        <v>403</v>
      </c>
      <c r="B11" s="367" t="s">
        <v>980</v>
      </c>
      <c r="C11" s="369">
        <f>'2.Bevételek_részletes'!$AC$26/12</f>
        <v>25060.354530000001</v>
      </c>
      <c r="D11" s="369">
        <f>'2.Bevételek_részletes'!$AC$26/12</f>
        <v>25060.354530000001</v>
      </c>
      <c r="E11" s="369">
        <f>'2.Bevételek_részletes'!$AC$26/12</f>
        <v>25060.354530000001</v>
      </c>
      <c r="F11" s="369">
        <f>'2.Bevételek_részletes'!$AC$26/12</f>
        <v>25060.354530000001</v>
      </c>
      <c r="G11" s="369">
        <f>'2.Bevételek_részletes'!$AC$26/12</f>
        <v>25060.354530000001</v>
      </c>
      <c r="H11" s="369">
        <f>'2.Bevételek_részletes'!$AC$26/12</f>
        <v>25060.354530000001</v>
      </c>
      <c r="I11" s="369">
        <f>'2.Bevételek_részletes'!$AC$26/12</f>
        <v>25060.354530000001</v>
      </c>
      <c r="J11" s="369">
        <f>'2.Bevételek_részletes'!$AC$26/12</f>
        <v>25060.354530000001</v>
      </c>
      <c r="K11" s="369">
        <f>'2.Bevételek_részletes'!$AC$26/12</f>
        <v>25060.354530000001</v>
      </c>
      <c r="L11" s="369">
        <f>'2.Bevételek_részletes'!$AC$26/12</f>
        <v>25060.354530000001</v>
      </c>
      <c r="M11" s="369">
        <f>'2.Bevételek_részletes'!$AC$26/12</f>
        <v>25060.354530000001</v>
      </c>
      <c r="N11" s="369">
        <f>'2.Bevételek_részletes'!$AC$26/12</f>
        <v>25060.354530000001</v>
      </c>
      <c r="O11" s="370">
        <f>SUM(C11:N11)</f>
        <v>300724.25436000008</v>
      </c>
      <c r="Q11" s="368"/>
      <c r="R11" s="371"/>
    </row>
    <row r="12" spans="1:19" ht="27.75" customHeight="1" x14ac:dyDescent="0.3">
      <c r="A12" s="365" t="s">
        <v>419</v>
      </c>
      <c r="B12" s="367" t="s">
        <v>594</v>
      </c>
      <c r="C12" s="369">
        <f>'2.Bevételek_részletes'!$AC$34/12</f>
        <v>227.16666666666666</v>
      </c>
      <c r="D12" s="369">
        <f>'2.Bevételek_részletes'!$AC$34/12</f>
        <v>227.16666666666666</v>
      </c>
      <c r="E12" s="369">
        <f>'2.Bevételek_részletes'!$AC$34/12</f>
        <v>227.16666666666666</v>
      </c>
      <c r="F12" s="369">
        <f>'2.Bevételek_részletes'!$AC$34/12</f>
        <v>227.16666666666666</v>
      </c>
      <c r="G12" s="369">
        <f>'2.Bevételek_részletes'!$AC$34/12</f>
        <v>227.16666666666666</v>
      </c>
      <c r="H12" s="369">
        <f>'2.Bevételek_részletes'!$AC$34/12</f>
        <v>227.16666666666666</v>
      </c>
      <c r="I12" s="369">
        <f>'2.Bevételek_részletes'!$AC$34/12</f>
        <v>227.16666666666666</v>
      </c>
      <c r="J12" s="369">
        <f>'2.Bevételek_részletes'!$AC$34/12</f>
        <v>227.16666666666666</v>
      </c>
      <c r="K12" s="369">
        <f>'2.Bevételek_részletes'!$AC$34/12</f>
        <v>227.16666666666666</v>
      </c>
      <c r="L12" s="369">
        <f>'2.Bevételek_részletes'!$AC$34/12</f>
        <v>227.16666666666666</v>
      </c>
      <c r="M12" s="369">
        <f>'2.Bevételek_részletes'!$AC$34/12</f>
        <v>227.16666666666666</v>
      </c>
      <c r="N12" s="369">
        <f>'2.Bevételek_részletes'!$AC$34/12</f>
        <v>227.16666666666666</v>
      </c>
      <c r="O12" s="511">
        <f t="shared" ref="O12:O16" si="0">SUM(C12:N12)</f>
        <v>2726</v>
      </c>
      <c r="P12" s="353">
        <f>O12-'2.Bevételek_részletes'!AC34</f>
        <v>0</v>
      </c>
      <c r="Q12" s="368"/>
    </row>
    <row r="13" spans="1:19" ht="27.75" customHeight="1" x14ac:dyDescent="0.3">
      <c r="A13" s="365" t="s">
        <v>378</v>
      </c>
      <c r="B13" s="367" t="s">
        <v>595</v>
      </c>
      <c r="C13" s="369">
        <f>'2.Bevételek_részletes'!$AC$10*0.12</f>
        <v>105647.724228753</v>
      </c>
      <c r="D13" s="369">
        <f>'2.Bevételek_részletes'!$AC$10*0.08</f>
        <v>70431.816152501997</v>
      </c>
      <c r="E13" s="369">
        <f>'2.Bevételek_részletes'!$AC$10*0.08</f>
        <v>70431.816152501997</v>
      </c>
      <c r="F13" s="369">
        <f>'2.Bevételek_részletes'!$AC$10*0.08</f>
        <v>70431.816152501997</v>
      </c>
      <c r="G13" s="369">
        <f>'2.Bevételek_részletes'!$AC$10*0.08</f>
        <v>70431.816152501997</v>
      </c>
      <c r="H13" s="369">
        <f>'2.Bevételek_részletes'!$AC$10*0.08</f>
        <v>70431.816152501997</v>
      </c>
      <c r="I13" s="369">
        <f>'2.Bevételek_részletes'!$AC$10*0.08</f>
        <v>70431.816152501997</v>
      </c>
      <c r="J13" s="369">
        <f>'2.Bevételek_részletes'!$AC$10*0.08</f>
        <v>70431.816152501997</v>
      </c>
      <c r="K13" s="369">
        <f>'2.Bevételek_részletes'!$AC$10*0.08</f>
        <v>70431.816152501997</v>
      </c>
      <c r="L13" s="369">
        <f>'2.Bevételek_részletes'!$AC$10*0.08</f>
        <v>70431.816152501997</v>
      </c>
      <c r="M13" s="369">
        <f>'2.Bevételek_részletes'!$AC$10*0.08</f>
        <v>70431.816152501997</v>
      </c>
      <c r="N13" s="369">
        <f>'2.Bevételek_részletes'!$AC$10*0.08</f>
        <v>70431.816152501997</v>
      </c>
      <c r="O13" s="511">
        <f>SUM(C13:N13)</f>
        <v>880397.70190627477</v>
      </c>
      <c r="P13" s="353">
        <f>O13-'2.Bevételek_részletes'!AC10</f>
        <v>0</v>
      </c>
      <c r="Q13" s="353"/>
      <c r="R13" s="353"/>
      <c r="S13" s="368"/>
    </row>
    <row r="14" spans="1:19" ht="27.75" customHeight="1" x14ac:dyDescent="0.3">
      <c r="A14" s="365" t="s">
        <v>427</v>
      </c>
      <c r="B14" s="367" t="s">
        <v>596</v>
      </c>
      <c r="C14" s="369"/>
      <c r="D14" s="369"/>
      <c r="E14" s="369"/>
      <c r="F14" s="369"/>
      <c r="G14" s="369"/>
      <c r="H14" s="369"/>
      <c r="I14" s="369"/>
      <c r="J14" s="369"/>
      <c r="K14" s="369"/>
      <c r="L14" s="369"/>
      <c r="M14" s="369"/>
      <c r="N14" s="369"/>
      <c r="O14" s="511">
        <f t="shared" si="0"/>
        <v>0</v>
      </c>
      <c r="Q14" s="368"/>
    </row>
    <row r="15" spans="1:19" ht="27.75" customHeight="1" x14ac:dyDescent="0.3">
      <c r="A15" s="365" t="s">
        <v>982</v>
      </c>
      <c r="B15" s="367" t="s">
        <v>597</v>
      </c>
      <c r="C15" s="369">
        <f>'2.Bevételek_részletes'!$AC$13/12+('2.Bevételek_részletes'!$AC$29-7400)/12</f>
        <v>81.583333333333329</v>
      </c>
      <c r="D15" s="369">
        <f>'2.Bevételek_részletes'!$AC$13/12+('2.Bevételek_részletes'!$AC$29-7400)/12</f>
        <v>81.583333333333329</v>
      </c>
      <c r="E15" s="369">
        <f>'2.Bevételek_részletes'!$AC$13/12+('2.Bevételek_részletes'!$AC$29-7400)/12+7400</f>
        <v>7481.583333333333</v>
      </c>
      <c r="F15" s="369">
        <f>'2.Bevételek_részletes'!$AC$13/12+('2.Bevételek_részletes'!$AC$29-7400)/12</f>
        <v>81.583333333333329</v>
      </c>
      <c r="G15" s="369">
        <f>'2.Bevételek_részletes'!$AC$13/12+('2.Bevételek_részletes'!$AC$29-7400)/12</f>
        <v>81.583333333333329</v>
      </c>
      <c r="H15" s="369">
        <f>'2.Bevételek_részletes'!$AC$13/12+('2.Bevételek_részletes'!$AC$29-7400)/12</f>
        <v>81.583333333333329</v>
      </c>
      <c r="I15" s="369">
        <f>'2.Bevételek_részletes'!$AC$13/12+('2.Bevételek_részletes'!$AC$29-7400)/12</f>
        <v>81.583333333333329</v>
      </c>
      <c r="J15" s="369">
        <f>'2.Bevételek_részletes'!$AC$13/12+('2.Bevételek_részletes'!$AC$29-7400)/12</f>
        <v>81.583333333333329</v>
      </c>
      <c r="K15" s="369">
        <f>'2.Bevételek_részletes'!$AC$13/12+('2.Bevételek_részletes'!$AC$29-7400)/12</f>
        <v>81.583333333333329</v>
      </c>
      <c r="L15" s="369">
        <f>'2.Bevételek_részletes'!$AC$13/12+('2.Bevételek_részletes'!$AC$29-7400)/12</f>
        <v>81.583333333333329</v>
      </c>
      <c r="M15" s="369">
        <f>'2.Bevételek_részletes'!$AC$13/12+('2.Bevételek_részletes'!$AC$29-7400)/12</f>
        <v>81.583333333333329</v>
      </c>
      <c r="N15" s="369">
        <f>'2.Bevételek_részletes'!$AC$13/12+('2.Bevételek_részletes'!$AC$29-7400)/12</f>
        <v>81.583333333333329</v>
      </c>
      <c r="O15" s="511">
        <f t="shared" si="0"/>
        <v>8379</v>
      </c>
      <c r="P15" s="353">
        <f>O15-'2.Bevételek_részletes'!AC29-'2.Bevételek_részletes'!AC13</f>
        <v>0</v>
      </c>
      <c r="Q15" s="368"/>
      <c r="R15" s="368"/>
    </row>
    <row r="16" spans="1:19" ht="27.75" customHeight="1" x14ac:dyDescent="0.3">
      <c r="A16" s="365" t="s">
        <v>432</v>
      </c>
      <c r="B16" s="367" t="s">
        <v>695</v>
      </c>
      <c r="C16" s="369">
        <f>'2.Bevételek_részletes'!AC44</f>
        <v>415449</v>
      </c>
      <c r="D16" s="369"/>
      <c r="E16" s="369"/>
      <c r="F16" s="369"/>
      <c r="G16" s="369"/>
      <c r="H16" s="369"/>
      <c r="I16" s="369"/>
      <c r="J16" s="369"/>
      <c r="K16" s="369"/>
      <c r="L16" s="369"/>
      <c r="M16" s="369"/>
      <c r="N16" s="369"/>
      <c r="O16" s="511">
        <f t="shared" si="0"/>
        <v>415449</v>
      </c>
      <c r="Q16" s="368"/>
    </row>
    <row r="17" spans="1:17" ht="27.75" customHeight="1" thickBot="1" x14ac:dyDescent="0.35">
      <c r="A17" s="550"/>
      <c r="B17" s="551"/>
      <c r="C17" s="552"/>
      <c r="D17" s="552"/>
      <c r="E17" s="552"/>
      <c r="F17" s="552"/>
      <c r="G17" s="552"/>
      <c r="H17" s="552"/>
      <c r="I17" s="552"/>
      <c r="J17" s="552"/>
      <c r="K17" s="552"/>
      <c r="L17" s="552"/>
      <c r="M17" s="552"/>
      <c r="N17" s="552"/>
      <c r="O17" s="553"/>
    </row>
    <row r="18" spans="1:17" ht="27.75" customHeight="1" thickBot="1" x14ac:dyDescent="0.35">
      <c r="A18" s="557"/>
      <c r="B18" s="558" t="s">
        <v>598</v>
      </c>
      <c r="C18" s="559">
        <f>SUM(C10:C17)</f>
        <v>546465.82875875302</v>
      </c>
      <c r="D18" s="559">
        <f>SUM(D10:D17)</f>
        <v>95800.920682501994</v>
      </c>
      <c r="E18" s="559">
        <f t="shared" ref="E18:N18" si="1">SUM(E10:E17)</f>
        <v>394300.92068250204</v>
      </c>
      <c r="F18" s="559">
        <f t="shared" si="1"/>
        <v>95800.920682501994</v>
      </c>
      <c r="G18" s="559">
        <f t="shared" si="1"/>
        <v>95800.920682501994</v>
      </c>
      <c r="H18" s="559">
        <f t="shared" si="1"/>
        <v>95800.920682501994</v>
      </c>
      <c r="I18" s="559">
        <f t="shared" si="1"/>
        <v>95800.920682501994</v>
      </c>
      <c r="J18" s="559">
        <f t="shared" si="1"/>
        <v>95800.920682501994</v>
      </c>
      <c r="K18" s="559">
        <f t="shared" si="1"/>
        <v>386900.92068250204</v>
      </c>
      <c r="L18" s="559">
        <f t="shared" si="1"/>
        <v>95800.920682501994</v>
      </c>
      <c r="M18" s="559">
        <f t="shared" si="1"/>
        <v>95800.920682501994</v>
      </c>
      <c r="N18" s="559">
        <f t="shared" si="1"/>
        <v>145800.92068250201</v>
      </c>
      <c r="O18" s="559">
        <f>SUM(O10:O17)</f>
        <v>2239875.9562662747</v>
      </c>
      <c r="P18" s="353">
        <f>O18-'2.Bevételek_részletes'!AC48</f>
        <v>0</v>
      </c>
      <c r="Q18" s="371"/>
    </row>
    <row r="19" spans="1:17" ht="27.75" customHeight="1" x14ac:dyDescent="0.3">
      <c r="A19" s="554"/>
      <c r="B19" s="555"/>
      <c r="C19" s="556"/>
      <c r="D19" s="556"/>
      <c r="E19" s="556"/>
      <c r="F19" s="556"/>
      <c r="G19" s="556"/>
      <c r="H19" s="556"/>
      <c r="I19" s="556"/>
      <c r="J19" s="556"/>
      <c r="K19" s="556"/>
      <c r="L19" s="556"/>
      <c r="M19" s="556"/>
      <c r="N19" s="556"/>
      <c r="O19" s="556"/>
      <c r="Q19" s="371"/>
    </row>
    <row r="20" spans="1:17" ht="27.75" customHeight="1" x14ac:dyDescent="0.3">
      <c r="A20" s="365"/>
      <c r="B20" s="366" t="s">
        <v>599</v>
      </c>
      <c r="C20" s="369"/>
      <c r="D20" s="369"/>
      <c r="E20" s="369"/>
      <c r="F20" s="369"/>
      <c r="G20" s="369"/>
      <c r="H20" s="369"/>
      <c r="I20" s="369"/>
      <c r="J20" s="369"/>
      <c r="K20" s="369"/>
      <c r="L20" s="369"/>
      <c r="M20" s="369"/>
      <c r="N20" s="369"/>
      <c r="O20" s="369"/>
      <c r="Q20" s="371"/>
    </row>
    <row r="21" spans="1:17" ht="27.75" customHeight="1" x14ac:dyDescent="0.3">
      <c r="A21" s="365"/>
      <c r="B21" s="367"/>
      <c r="C21" s="369"/>
      <c r="D21" s="369"/>
      <c r="E21" s="369"/>
      <c r="F21" s="369"/>
      <c r="G21" s="369"/>
      <c r="H21" s="369"/>
      <c r="I21" s="369"/>
      <c r="J21" s="369"/>
      <c r="K21" s="369"/>
      <c r="L21" s="369"/>
      <c r="M21" s="369"/>
      <c r="N21" s="369"/>
      <c r="O21" s="369"/>
      <c r="Q21" s="371"/>
    </row>
    <row r="22" spans="1:17" ht="27.75" customHeight="1" x14ac:dyDescent="0.3">
      <c r="A22" s="365" t="s">
        <v>521</v>
      </c>
      <c r="B22" s="367" t="s">
        <v>600</v>
      </c>
      <c r="C22" s="369">
        <f>('2.Kiadások_részletes '!$AC$20-'2.Kiadások_részletes '!$AC$18)/12</f>
        <v>142662.67199999999</v>
      </c>
      <c r="D22" s="369">
        <f>('2.Kiadások_részletes '!$AC$20-'2.Kiadások_részletes '!$AC$18)/12</f>
        <v>142662.67199999999</v>
      </c>
      <c r="E22" s="369">
        <f>('2.Kiadások_részletes '!$AC$20-'2.Kiadások_részletes '!$AC$18)/12</f>
        <v>142662.67199999999</v>
      </c>
      <c r="F22" s="369">
        <f>('2.Kiadások_részletes '!$AC$20-'2.Kiadások_részletes '!$AC$18)/12</f>
        <v>142662.67199999999</v>
      </c>
      <c r="G22" s="369">
        <f>('2.Kiadások_részletes '!$AC$20-'2.Kiadások_részletes '!$AC$18)/12</f>
        <v>142662.67199999999</v>
      </c>
      <c r="H22" s="369">
        <f>('2.Kiadások_részletes '!$AC$20-'2.Kiadások_részletes '!$AC$18)/12</f>
        <v>142662.67199999999</v>
      </c>
      <c r="I22" s="369">
        <f>('2.Kiadások_részletes '!$AC$20-'2.Kiadások_részletes '!$AC$18)/12</f>
        <v>142662.67199999999</v>
      </c>
      <c r="J22" s="369">
        <f>('2.Kiadások_részletes '!$AC$20-'2.Kiadások_részletes '!$AC$18)/12</f>
        <v>142662.67199999999</v>
      </c>
      <c r="K22" s="369">
        <f>('2.Kiadások_részletes '!$AC$20-'2.Kiadások_részletes '!$AC$18)/12</f>
        <v>142662.67199999999</v>
      </c>
      <c r="L22" s="369">
        <f>('2.Kiadások_részletes '!$AC$20-'2.Kiadások_részletes '!$AC$18)/12</f>
        <v>142662.67199999999</v>
      </c>
      <c r="M22" s="369">
        <f>('2.Kiadások_részletes '!$AC$20-'2.Kiadások_részletes '!$AC$18)/12</f>
        <v>142662.67199999999</v>
      </c>
      <c r="N22" s="369">
        <f>('2.Kiadások_részletes '!$AC$20-'2.Kiadások_részletes '!$AC$18)/12</f>
        <v>142662.67199999999</v>
      </c>
      <c r="O22" s="370">
        <f t="shared" ref="O22:O27" si="2">SUM(C22:N22)</f>
        <v>1711952.064</v>
      </c>
      <c r="P22" s="353">
        <f>O22-'2.Kiadások_részletes '!AC20+'2.Kiadások_részletes '!AC18</f>
        <v>0</v>
      </c>
      <c r="Q22" s="371"/>
    </row>
    <row r="23" spans="1:17" ht="27.75" customHeight="1" x14ac:dyDescent="0.3">
      <c r="A23" s="365" t="s">
        <v>312</v>
      </c>
      <c r="B23" s="367" t="s">
        <v>601</v>
      </c>
      <c r="C23" s="369">
        <f>'2.Kiadások_részletes '!$AC$30/4</f>
        <v>330</v>
      </c>
      <c r="D23" s="369"/>
      <c r="E23" s="369"/>
      <c r="F23" s="369">
        <f>'2.Kiadások_részletes '!$AC$30/4</f>
        <v>330</v>
      </c>
      <c r="G23" s="369"/>
      <c r="H23" s="369"/>
      <c r="I23" s="369">
        <f>'2.Kiadások_részletes '!$AC$30/4</f>
        <v>330</v>
      </c>
      <c r="J23" s="369"/>
      <c r="K23" s="369"/>
      <c r="L23" s="369">
        <f>'2.Kiadások_részletes '!$AC$30/4</f>
        <v>330</v>
      </c>
      <c r="M23" s="369"/>
      <c r="N23" s="369"/>
      <c r="O23" s="372">
        <f t="shared" si="2"/>
        <v>1320</v>
      </c>
      <c r="P23" s="353">
        <f>O23-'2.Kiadások_részletes '!AC30</f>
        <v>0</v>
      </c>
      <c r="Q23" s="371"/>
    </row>
    <row r="24" spans="1:17" ht="27.75" customHeight="1" x14ac:dyDescent="0.3">
      <c r="A24" s="365" t="s">
        <v>304</v>
      </c>
      <c r="B24" s="367" t="s">
        <v>602</v>
      </c>
      <c r="C24" s="369"/>
      <c r="D24" s="369"/>
      <c r="E24" s="369"/>
      <c r="F24" s="369">
        <f>'2.Kiadások_részletes '!$AC$22/4</f>
        <v>6654.75</v>
      </c>
      <c r="G24" s="369">
        <f>'2.Kiadások_részletes '!$AC$22/4</f>
        <v>6654.75</v>
      </c>
      <c r="H24" s="369">
        <f>'2.Kiadások_részletes '!$AC$22/4</f>
        <v>6654.75</v>
      </c>
      <c r="I24" s="369">
        <f>'2.Kiadások_részletes '!$AC$22/4</f>
        <v>6654.75</v>
      </c>
      <c r="J24" s="369"/>
      <c r="K24" s="369"/>
      <c r="L24" s="369"/>
      <c r="M24" s="369"/>
      <c r="N24" s="369"/>
      <c r="O24" s="372">
        <f t="shared" si="2"/>
        <v>26619</v>
      </c>
      <c r="P24" s="353">
        <f>O24-'2.Kiadások_részletes '!AC22</f>
        <v>0</v>
      </c>
      <c r="Q24" s="371"/>
    </row>
    <row r="25" spans="1:17" ht="27.75" customHeight="1" x14ac:dyDescent="0.3">
      <c r="A25" s="365" t="s">
        <v>303</v>
      </c>
      <c r="B25" s="367" t="s">
        <v>603</v>
      </c>
      <c r="C25" s="369"/>
      <c r="D25" s="369"/>
      <c r="E25" s="369"/>
      <c r="F25" s="369">
        <f>'2.Kiadások_részletes '!$AC$21/7</f>
        <v>40133.142857142855</v>
      </c>
      <c r="G25" s="369">
        <f>'2.Kiadások_részletes '!$AC$21/7</f>
        <v>40133.142857142855</v>
      </c>
      <c r="H25" s="369">
        <f>'2.Kiadások_részletes '!$AC$21/7</f>
        <v>40133.142857142855</v>
      </c>
      <c r="I25" s="369">
        <f>'2.Kiadások_részletes '!$AC$21/7</f>
        <v>40133.142857142855</v>
      </c>
      <c r="J25" s="369">
        <f>'2.Kiadások_részletes '!$AC$21/7</f>
        <v>40133.142857142855</v>
      </c>
      <c r="K25" s="369">
        <f>'2.Kiadások_részletes '!$AC$21/7</f>
        <v>40133.142857142855</v>
      </c>
      <c r="L25" s="369">
        <f>'2.Kiadások_részletes '!$AC$21/7</f>
        <v>40133.142857142855</v>
      </c>
      <c r="M25" s="369"/>
      <c r="N25" s="369"/>
      <c r="O25" s="372">
        <f t="shared" si="2"/>
        <v>280931.99999999994</v>
      </c>
      <c r="P25" s="353">
        <f>O25-'2.Kiadások_részletes '!AC21</f>
        <v>0</v>
      </c>
      <c r="Q25" s="371"/>
    </row>
    <row r="26" spans="1:17" ht="27.75" customHeight="1" x14ac:dyDescent="0.3">
      <c r="A26" s="365" t="s">
        <v>298</v>
      </c>
      <c r="B26" s="367" t="s">
        <v>604</v>
      </c>
      <c r="C26" s="369"/>
      <c r="D26" s="365"/>
      <c r="E26" s="369">
        <f>'2.Kiadások_részletes '!$AC$18/8</f>
        <v>24806.75</v>
      </c>
      <c r="F26" s="369">
        <f>'2.Kiadások_részletes '!$AC$18/8</f>
        <v>24806.75</v>
      </c>
      <c r="G26" s="369">
        <f>'2.Kiadások_részletes '!$AC$18/8</f>
        <v>24806.75</v>
      </c>
      <c r="H26" s="369">
        <f>'2.Kiadások_részletes '!$AC$18/8</f>
        <v>24806.75</v>
      </c>
      <c r="I26" s="369">
        <f>'2.Kiadások_részletes '!$AC$18/8</f>
        <v>24806.75</v>
      </c>
      <c r="J26" s="369">
        <f>'2.Kiadások_részletes '!$AC$18/8</f>
        <v>24806.75</v>
      </c>
      <c r="K26" s="369">
        <f>'2.Kiadások_részletes '!$AC$18/8</f>
        <v>24806.75</v>
      </c>
      <c r="L26" s="369">
        <f>'2.Kiadások_részletes '!$AC$18/8</f>
        <v>24806.75</v>
      </c>
      <c r="M26" s="369"/>
      <c r="N26" s="369"/>
      <c r="O26" s="372">
        <f t="shared" si="2"/>
        <v>198454</v>
      </c>
      <c r="P26" s="353">
        <f>O26-'2.Kiadások_részletes '!AC18</f>
        <v>0</v>
      </c>
      <c r="Q26" s="371"/>
    </row>
    <row r="27" spans="1:17" ht="27.75" customHeight="1" x14ac:dyDescent="0.3">
      <c r="A27" s="365" t="s">
        <v>730</v>
      </c>
      <c r="B27" s="367" t="s">
        <v>979</v>
      </c>
      <c r="C27" s="369">
        <f>'2.Kiadások_részletes '!AC32</f>
        <v>20599</v>
      </c>
      <c r="D27" s="365"/>
      <c r="E27" s="369"/>
      <c r="F27" s="369"/>
      <c r="G27" s="369"/>
      <c r="H27" s="369"/>
      <c r="I27" s="369"/>
      <c r="J27" s="369"/>
      <c r="K27" s="369"/>
      <c r="L27" s="369"/>
      <c r="M27" s="369"/>
      <c r="N27" s="369"/>
      <c r="O27" s="372">
        <f t="shared" si="2"/>
        <v>20599</v>
      </c>
      <c r="Q27" s="371"/>
    </row>
    <row r="28" spans="1:17" ht="27.75" customHeight="1" thickBot="1" x14ac:dyDescent="0.35">
      <c r="A28" s="365"/>
      <c r="B28" s="367"/>
      <c r="C28" s="369"/>
      <c r="D28" s="369"/>
      <c r="E28" s="369"/>
      <c r="F28" s="369"/>
      <c r="G28" s="369"/>
      <c r="H28" s="369"/>
      <c r="I28" s="369"/>
      <c r="J28" s="369"/>
      <c r="K28" s="369"/>
      <c r="L28" s="369"/>
      <c r="M28" s="369"/>
      <c r="N28" s="369"/>
      <c r="O28" s="370"/>
      <c r="Q28" s="371"/>
    </row>
    <row r="29" spans="1:17" ht="27.75" customHeight="1" thickBot="1" x14ac:dyDescent="0.35">
      <c r="A29" s="557"/>
      <c r="B29" s="558" t="s">
        <v>605</v>
      </c>
      <c r="C29" s="559">
        <f>SUM(C22:C28)</f>
        <v>163591.67199999999</v>
      </c>
      <c r="D29" s="559">
        <f>SUM(D22:D28)</f>
        <v>142662.67199999999</v>
      </c>
      <c r="E29" s="559">
        <f t="shared" ref="E29:M29" si="3">SUM(E22:E28)</f>
        <v>167469.42199999999</v>
      </c>
      <c r="F29" s="559">
        <f t="shared" si="3"/>
        <v>214587.31485714286</v>
      </c>
      <c r="G29" s="559">
        <f t="shared" si="3"/>
        <v>214257.31485714286</v>
      </c>
      <c r="H29" s="559">
        <f t="shared" si="3"/>
        <v>214257.31485714286</v>
      </c>
      <c r="I29" s="559">
        <f t="shared" si="3"/>
        <v>214587.31485714286</v>
      </c>
      <c r="J29" s="559">
        <f t="shared" si="3"/>
        <v>207602.56485714286</v>
      </c>
      <c r="K29" s="559">
        <f t="shared" si="3"/>
        <v>207602.56485714286</v>
      </c>
      <c r="L29" s="559">
        <f t="shared" si="3"/>
        <v>207932.56485714286</v>
      </c>
      <c r="M29" s="559">
        <f t="shared" si="3"/>
        <v>142662.67199999999</v>
      </c>
      <c r="N29" s="559">
        <f>N22+N23+N24+N25+N26</f>
        <v>142662.67199999999</v>
      </c>
      <c r="O29" s="559">
        <f>SUM(O22:O28)</f>
        <v>2239876.0640000002</v>
      </c>
      <c r="Q29" s="371"/>
    </row>
    <row r="30" spans="1:17" ht="27.75" customHeight="1" thickBot="1" x14ac:dyDescent="0.35">
      <c r="A30" s="550"/>
      <c r="B30" s="560"/>
      <c r="C30" s="561"/>
      <c r="D30" s="561"/>
      <c r="E30" s="561"/>
      <c r="F30" s="561"/>
      <c r="G30" s="561"/>
      <c r="H30" s="561"/>
      <c r="I30" s="561"/>
      <c r="J30" s="561"/>
      <c r="K30" s="561"/>
      <c r="L30" s="561"/>
      <c r="M30" s="561"/>
      <c r="N30" s="561"/>
      <c r="O30" s="561"/>
    </row>
    <row r="31" spans="1:17" ht="27.75" customHeight="1" thickBot="1" x14ac:dyDescent="0.35">
      <c r="A31" s="557"/>
      <c r="B31" s="562" t="s">
        <v>606</v>
      </c>
      <c r="C31" s="563">
        <f>C18-C29</f>
        <v>382874.156758753</v>
      </c>
      <c r="D31" s="563">
        <f t="shared" ref="D31:M31" si="4">D18-D29</f>
        <v>-46861.751317497998</v>
      </c>
      <c r="E31" s="563">
        <f t="shared" si="4"/>
        <v>226831.49868250205</v>
      </c>
      <c r="F31" s="563">
        <f t="shared" si="4"/>
        <v>-118786.39417464087</v>
      </c>
      <c r="G31" s="563">
        <f t="shared" si="4"/>
        <v>-118456.39417464087</v>
      </c>
      <c r="H31" s="563">
        <f t="shared" si="4"/>
        <v>-118456.39417464087</v>
      </c>
      <c r="I31" s="563">
        <f t="shared" si="4"/>
        <v>-118786.39417464087</v>
      </c>
      <c r="J31" s="563">
        <f t="shared" si="4"/>
        <v>-111801.64417464087</v>
      </c>
      <c r="K31" s="563">
        <f t="shared" si="4"/>
        <v>179298.35582535918</v>
      </c>
      <c r="L31" s="563">
        <f t="shared" si="4"/>
        <v>-112131.64417464087</v>
      </c>
      <c r="M31" s="563">
        <f t="shared" si="4"/>
        <v>-46861.751317497998</v>
      </c>
      <c r="N31" s="563">
        <f>N18-N29</f>
        <v>3138.2486825020169</v>
      </c>
      <c r="O31" s="563">
        <f>O29-O18</f>
        <v>0.10773372557014227</v>
      </c>
    </row>
    <row r="32" spans="1:17" x14ac:dyDescent="0.3">
      <c r="B32" s="360"/>
      <c r="C32" s="361"/>
      <c r="D32" s="361"/>
      <c r="E32" s="361"/>
      <c r="F32" s="361"/>
      <c r="G32" s="361"/>
      <c r="H32" s="361"/>
      <c r="I32" s="361"/>
      <c r="J32" s="361"/>
      <c r="K32" s="361"/>
      <c r="L32" s="361"/>
      <c r="M32" s="361"/>
      <c r="N32" s="361"/>
      <c r="O32" s="361"/>
    </row>
    <row r="35" spans="3:3" x14ac:dyDescent="0.3">
      <c r="C35" s="368"/>
    </row>
  </sheetData>
  <mergeCells count="3">
    <mergeCell ref="A2:O2"/>
    <mergeCell ref="A1:O1"/>
    <mergeCell ref="A4:O4"/>
  </mergeCells>
  <phoneticPr fontId="62" type="noConversion"/>
  <printOptions horizontalCentered="1"/>
  <pageMargins left="0.16" right="0.24" top="0.22" bottom="0.74803149606299213" header="0.31496062992125984" footer="0.31496062992125984"/>
  <pageSetup paperSize="9" scale="6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M386"/>
  <sheetViews>
    <sheetView view="pageBreakPreview" zoomScaleNormal="90" zoomScaleSheetLayoutView="100" workbookViewId="0">
      <pane ySplit="8" topLeftCell="A9" activePane="bottomLeft" state="frozen"/>
      <selection activeCell="B32" sqref="B32"/>
      <selection pane="bottomLeft" activeCell="A4" sqref="A4:H4"/>
    </sheetView>
  </sheetViews>
  <sheetFormatPr defaultRowHeight="12.75" x14ac:dyDescent="0.2"/>
  <cols>
    <col min="1" max="1" width="29.7109375" style="74" customWidth="1"/>
    <col min="2" max="2" width="16" style="74" customWidth="1"/>
    <col min="3" max="3" width="13.42578125" style="74" customWidth="1"/>
    <col min="4" max="4" width="13.28515625" style="74" customWidth="1"/>
    <col min="5" max="5" width="14" style="74" customWidth="1"/>
    <col min="6" max="6" width="11.42578125" style="74" customWidth="1"/>
    <col min="7" max="7" width="14.85546875" style="74" customWidth="1"/>
    <col min="8" max="8" width="12.140625" style="74" customWidth="1"/>
    <col min="9" max="16384" width="9.140625" style="74"/>
  </cols>
  <sheetData>
    <row r="1" spans="1:10" ht="15.75" customHeight="1" x14ac:dyDescent="0.3">
      <c r="A1" s="2534" t="str">
        <f>Tartalomjegyzék_2017!A1</f>
        <v>Pilisvörösvár Város Önkormányzata Képviselő-testületének 7/2018. (IV. 27.) önkormányzati rendelete</v>
      </c>
      <c r="B1" s="2534"/>
      <c r="C1" s="2534"/>
      <c r="D1" s="2534"/>
      <c r="E1" s="2534"/>
      <c r="F1" s="2534"/>
      <c r="G1" s="2534"/>
      <c r="H1" s="2534"/>
      <c r="I1" s="329"/>
      <c r="J1" s="329"/>
    </row>
    <row r="2" spans="1:10" ht="19.5" customHeight="1" x14ac:dyDescent="0.3">
      <c r="A2" s="2534" t="str">
        <f>Tartalomjegyzék_2017!A2</f>
        <v>az Önkormányzat  2017. évi zárszámadásáról</v>
      </c>
      <c r="B2" s="2534"/>
      <c r="C2" s="2534"/>
      <c r="D2" s="2534"/>
      <c r="E2" s="2534"/>
      <c r="F2" s="2534"/>
      <c r="G2" s="2534"/>
      <c r="H2" s="2534"/>
      <c r="I2" s="329"/>
      <c r="J2" s="329"/>
    </row>
    <row r="3" spans="1:10" ht="12.75" customHeight="1" x14ac:dyDescent="0.3">
      <c r="A3" s="490"/>
      <c r="B3" s="490"/>
      <c r="C3" s="490"/>
      <c r="D3" s="490"/>
      <c r="E3" s="490"/>
      <c r="F3" s="490"/>
      <c r="G3" s="490"/>
      <c r="H3" s="490"/>
      <c r="I3" s="168"/>
      <c r="J3" s="168"/>
    </row>
    <row r="4" spans="1:10" ht="15.75" customHeight="1" x14ac:dyDescent="0.2">
      <c r="A4" s="2535" t="str">
        <f>Tartalomjegyzék_2017!B36</f>
        <v>Pilisvörösvár Város Önkormányzata közvetett támogatásai</v>
      </c>
      <c r="B4" s="2536"/>
      <c r="C4" s="2536"/>
      <c r="D4" s="2536"/>
      <c r="E4" s="2536"/>
      <c r="F4" s="2536"/>
      <c r="G4" s="2536"/>
      <c r="H4" s="2537"/>
      <c r="I4" s="169"/>
      <c r="J4" s="169"/>
    </row>
    <row r="5" spans="1:10" s="75" customFormat="1" ht="15.75" customHeight="1" x14ac:dyDescent="0.2">
      <c r="A5" s="477"/>
      <c r="B5" s="478"/>
      <c r="C5" s="478"/>
      <c r="D5" s="478"/>
      <c r="E5" s="478"/>
      <c r="F5" s="478"/>
      <c r="G5" s="478"/>
      <c r="H5" s="848" t="s">
        <v>22</v>
      </c>
      <c r="I5" s="170"/>
      <c r="J5" s="170"/>
    </row>
    <row r="6" spans="1:10" s="75" customFormat="1" ht="15.75" customHeight="1" thickBot="1" x14ac:dyDescent="0.25">
      <c r="A6" s="171"/>
      <c r="B6" s="172"/>
      <c r="C6" s="172"/>
      <c r="D6" s="172"/>
      <c r="E6" s="172"/>
      <c r="F6" s="172"/>
      <c r="G6" s="172"/>
      <c r="H6" s="846" t="s">
        <v>358</v>
      </c>
      <c r="I6" s="170"/>
      <c r="J6" s="170"/>
    </row>
    <row r="7" spans="1:10" s="75" customFormat="1" ht="44.25" customHeight="1" thickBot="1" x14ac:dyDescent="0.25">
      <c r="A7" s="570" t="s">
        <v>607</v>
      </c>
      <c r="B7" s="571" t="s">
        <v>608</v>
      </c>
      <c r="C7" s="571" t="s">
        <v>609</v>
      </c>
      <c r="D7" s="571" t="s">
        <v>94</v>
      </c>
      <c r="E7" s="571" t="s">
        <v>566</v>
      </c>
      <c r="F7" s="572" t="s">
        <v>568</v>
      </c>
      <c r="G7" s="571" t="s">
        <v>361</v>
      </c>
      <c r="H7" s="573" t="s">
        <v>444</v>
      </c>
      <c r="I7" s="170"/>
      <c r="J7" s="170"/>
    </row>
    <row r="8" spans="1:10" s="75" customFormat="1" ht="72.75" customHeight="1" x14ac:dyDescent="0.2">
      <c r="A8" s="174" t="s">
        <v>144</v>
      </c>
      <c r="B8" s="564">
        <f>B10+B12+B14+B16+B18+B20+B22+B24+B26+B28+B30+B32</f>
        <v>439179.98200000013</v>
      </c>
      <c r="C8" s="564">
        <f>C10+C12+C14+C16+C18+C20+C22+C24+C26+C28+C30+C32</f>
        <v>164550</v>
      </c>
      <c r="D8" s="564">
        <f t="shared" ref="C8:G9" si="0">D10+D12+D14+D16+D18+D20+D22+D24+D26+D28+D30+D32</f>
        <v>197035.00000000003</v>
      </c>
      <c r="E8" s="564">
        <f t="shared" si="0"/>
        <v>69087</v>
      </c>
      <c r="F8" s="564">
        <f t="shared" si="0"/>
        <v>38057</v>
      </c>
      <c r="G8" s="564">
        <f t="shared" si="0"/>
        <v>22568.000000000004</v>
      </c>
      <c r="H8" s="565">
        <f>SUM(B8:G8)</f>
        <v>930476.98200000008</v>
      </c>
      <c r="I8" s="173"/>
      <c r="J8" s="173"/>
    </row>
    <row r="9" spans="1:10" s="75" customFormat="1" ht="28.5" customHeight="1" x14ac:dyDescent="0.2">
      <c r="A9" s="175" t="s">
        <v>610</v>
      </c>
      <c r="B9" s="564">
        <f t="shared" ref="B9" si="1">B11+B13+B15+B17+B19+B21+B23+B25+B27+B29+B31+B33</f>
        <v>211319.35599999994</v>
      </c>
      <c r="C9" s="564">
        <f t="shared" si="0"/>
        <v>12508.000000000002</v>
      </c>
      <c r="D9" s="564">
        <f t="shared" si="0"/>
        <v>21324</v>
      </c>
      <c r="E9" s="564">
        <f t="shared" si="0"/>
        <v>47188.000000000007</v>
      </c>
      <c r="F9" s="564">
        <f t="shared" si="0"/>
        <v>10951.999999999998</v>
      </c>
      <c r="G9" s="564">
        <f t="shared" si="0"/>
        <v>3319.0000000000005</v>
      </c>
      <c r="H9" s="565">
        <f t="shared" ref="H9:H35" si="2">SUM(B9:G9)</f>
        <v>306610.35599999997</v>
      </c>
      <c r="I9" s="173"/>
      <c r="J9" s="173"/>
    </row>
    <row r="10" spans="1:10" s="76" customFormat="1" ht="28.5" customHeight="1" x14ac:dyDescent="0.2">
      <c r="A10" s="177" t="s">
        <v>611</v>
      </c>
      <c r="B10" s="566">
        <f>B38/12</f>
        <v>36598.331833333337</v>
      </c>
      <c r="C10" s="566">
        <f>C38/12</f>
        <v>13712.5</v>
      </c>
      <c r="D10" s="566">
        <f>$D$38/12</f>
        <v>16419.583333333332</v>
      </c>
      <c r="E10" s="566">
        <f>$E$38/12</f>
        <v>5757.25</v>
      </c>
      <c r="F10" s="566">
        <f>$F$38/12</f>
        <v>3171.4166666666665</v>
      </c>
      <c r="G10" s="566">
        <f>$G$38/12</f>
        <v>1880.6666666666667</v>
      </c>
      <c r="H10" s="565">
        <f t="shared" si="2"/>
        <v>77539.748500000016</v>
      </c>
      <c r="I10" s="176"/>
      <c r="J10" s="176"/>
    </row>
    <row r="11" spans="1:10" s="77" customFormat="1" ht="28.5" customHeight="1" x14ac:dyDescent="0.2">
      <c r="A11" s="175" t="s">
        <v>610</v>
      </c>
      <c r="B11" s="567">
        <f>B39/12</f>
        <v>17609.946333333333</v>
      </c>
      <c r="C11" s="567">
        <f>C39/12</f>
        <v>1042.3333333333333</v>
      </c>
      <c r="D11" s="567">
        <f>$D$39/12</f>
        <v>1777</v>
      </c>
      <c r="E11" s="567">
        <f>$E$39/12</f>
        <v>3932.3333333333335</v>
      </c>
      <c r="F11" s="567">
        <f>$F$39/12</f>
        <v>912.66666666666663</v>
      </c>
      <c r="G11" s="567">
        <f>$G$39/12</f>
        <v>276.58333333333331</v>
      </c>
      <c r="H11" s="565">
        <f t="shared" si="2"/>
        <v>25550.862999999998</v>
      </c>
      <c r="I11" s="178"/>
      <c r="J11" s="179"/>
    </row>
    <row r="12" spans="1:10" s="76" customFormat="1" ht="28.5" customHeight="1" x14ac:dyDescent="0.2">
      <c r="A12" s="177" t="s">
        <v>612</v>
      </c>
      <c r="B12" s="566">
        <f>B38/12</f>
        <v>36598.331833333337</v>
      </c>
      <c r="C12" s="566">
        <f>C38/12</f>
        <v>13712.5</v>
      </c>
      <c r="D12" s="566">
        <f t="shared" ref="D12" si="3">$D$38/12</f>
        <v>16419.583333333332</v>
      </c>
      <c r="E12" s="566">
        <f t="shared" ref="E12" si="4">$E$38/12</f>
        <v>5757.25</v>
      </c>
      <c r="F12" s="566">
        <f t="shared" ref="F12" si="5">$F$38/12</f>
        <v>3171.4166666666665</v>
      </c>
      <c r="G12" s="566">
        <f t="shared" ref="G12" si="6">$G$38/12</f>
        <v>1880.6666666666667</v>
      </c>
      <c r="H12" s="565">
        <f t="shared" si="2"/>
        <v>77539.748500000016</v>
      </c>
      <c r="I12" s="180"/>
      <c r="J12" s="176"/>
    </row>
    <row r="13" spans="1:10" s="77" customFormat="1" ht="28.5" customHeight="1" x14ac:dyDescent="0.2">
      <c r="A13" s="175" t="s">
        <v>610</v>
      </c>
      <c r="B13" s="567">
        <f>B39/12</f>
        <v>17609.946333333333</v>
      </c>
      <c r="C13" s="567">
        <f>C39/12</f>
        <v>1042.3333333333333</v>
      </c>
      <c r="D13" s="567">
        <f t="shared" ref="D13" si="7">$D$39/12</f>
        <v>1777</v>
      </c>
      <c r="E13" s="567">
        <f t="shared" ref="E13" si="8">$E$39/12</f>
        <v>3932.3333333333335</v>
      </c>
      <c r="F13" s="567">
        <f t="shared" ref="F13" si="9">$F$39/12</f>
        <v>912.66666666666663</v>
      </c>
      <c r="G13" s="567">
        <f t="shared" ref="G13" si="10">$G$39/12</f>
        <v>276.58333333333331</v>
      </c>
      <c r="H13" s="565">
        <f t="shared" si="2"/>
        <v>25550.862999999998</v>
      </c>
      <c r="I13" s="178"/>
      <c r="J13" s="181"/>
    </row>
    <row r="14" spans="1:10" s="76" customFormat="1" ht="28.5" customHeight="1" x14ac:dyDescent="0.2">
      <c r="A14" s="177" t="s">
        <v>613</v>
      </c>
      <c r="B14" s="566">
        <f>B38/12</f>
        <v>36598.331833333337</v>
      </c>
      <c r="C14" s="566">
        <f>C38/12</f>
        <v>13712.5</v>
      </c>
      <c r="D14" s="566">
        <f t="shared" ref="D14" si="11">$D$38/12</f>
        <v>16419.583333333332</v>
      </c>
      <c r="E14" s="566">
        <f t="shared" ref="E14" si="12">$E$38/12</f>
        <v>5757.25</v>
      </c>
      <c r="F14" s="566">
        <f t="shared" ref="F14" si="13">$F$38/12</f>
        <v>3171.4166666666665</v>
      </c>
      <c r="G14" s="566">
        <f t="shared" ref="G14" si="14">$G$38/12</f>
        <v>1880.6666666666667</v>
      </c>
      <c r="H14" s="565">
        <f t="shared" si="2"/>
        <v>77539.748500000016</v>
      </c>
      <c r="I14" s="180"/>
      <c r="J14" s="182"/>
    </row>
    <row r="15" spans="1:10" s="77" customFormat="1" ht="28.5" customHeight="1" x14ac:dyDescent="0.2">
      <c r="A15" s="175" t="s">
        <v>610</v>
      </c>
      <c r="B15" s="566">
        <f>B39/12</f>
        <v>17609.946333333333</v>
      </c>
      <c r="C15" s="566">
        <f>C39/12</f>
        <v>1042.3333333333333</v>
      </c>
      <c r="D15" s="567">
        <f t="shared" ref="D15" si="15">$D$39/12</f>
        <v>1777</v>
      </c>
      <c r="E15" s="567">
        <f t="shared" ref="E15" si="16">$E$39/12</f>
        <v>3932.3333333333335</v>
      </c>
      <c r="F15" s="567">
        <f t="shared" ref="F15" si="17">$F$39/12</f>
        <v>912.66666666666663</v>
      </c>
      <c r="G15" s="567">
        <f t="shared" ref="G15" si="18">$G$39/12</f>
        <v>276.58333333333331</v>
      </c>
      <c r="H15" s="565">
        <f t="shared" si="2"/>
        <v>25550.862999999998</v>
      </c>
      <c r="I15" s="178"/>
      <c r="J15" s="181"/>
    </row>
    <row r="16" spans="1:10" s="76" customFormat="1" ht="28.5" customHeight="1" x14ac:dyDescent="0.2">
      <c r="A16" s="177" t="s">
        <v>614</v>
      </c>
      <c r="B16" s="566">
        <f>B38/12</f>
        <v>36598.331833333337</v>
      </c>
      <c r="C16" s="566">
        <f>C38/12</f>
        <v>13712.5</v>
      </c>
      <c r="D16" s="566">
        <f t="shared" ref="D16" si="19">$D$38/12</f>
        <v>16419.583333333332</v>
      </c>
      <c r="E16" s="566">
        <f t="shared" ref="E16" si="20">$E$38/12</f>
        <v>5757.25</v>
      </c>
      <c r="F16" s="566">
        <f t="shared" ref="F16" si="21">$F$38/12</f>
        <v>3171.4166666666665</v>
      </c>
      <c r="G16" s="566">
        <f t="shared" ref="G16" si="22">$G$38/12</f>
        <v>1880.6666666666667</v>
      </c>
      <c r="H16" s="565">
        <f t="shared" si="2"/>
        <v>77539.748500000016</v>
      </c>
      <c r="I16" s="180"/>
      <c r="J16" s="182"/>
    </row>
    <row r="17" spans="1:10" s="77" customFormat="1" ht="28.5" customHeight="1" x14ac:dyDescent="0.2">
      <c r="A17" s="175" t="s">
        <v>610</v>
      </c>
      <c r="B17" s="566">
        <f>B39/12</f>
        <v>17609.946333333333</v>
      </c>
      <c r="C17" s="566">
        <f>C39/12</f>
        <v>1042.3333333333333</v>
      </c>
      <c r="D17" s="567">
        <f t="shared" ref="D17" si="23">$D$39/12</f>
        <v>1777</v>
      </c>
      <c r="E17" s="567">
        <f t="shared" ref="E17" si="24">$E$39/12</f>
        <v>3932.3333333333335</v>
      </c>
      <c r="F17" s="567">
        <f t="shared" ref="F17" si="25">$F$39/12</f>
        <v>912.66666666666663</v>
      </c>
      <c r="G17" s="567">
        <f t="shared" ref="G17" si="26">$G$39/12</f>
        <v>276.58333333333331</v>
      </c>
      <c r="H17" s="565">
        <f t="shared" si="2"/>
        <v>25550.862999999998</v>
      </c>
      <c r="I17" s="178"/>
      <c r="J17" s="181"/>
    </row>
    <row r="18" spans="1:10" s="76" customFormat="1" ht="28.5" customHeight="1" x14ac:dyDescent="0.2">
      <c r="A18" s="183" t="s">
        <v>615</v>
      </c>
      <c r="B18" s="566">
        <f>B38/12</f>
        <v>36598.331833333337</v>
      </c>
      <c r="C18" s="566">
        <f>C38/12</f>
        <v>13712.5</v>
      </c>
      <c r="D18" s="566">
        <f t="shared" ref="D18" si="27">$D$38/12</f>
        <v>16419.583333333332</v>
      </c>
      <c r="E18" s="566">
        <f t="shared" ref="E18" si="28">$E$38/12</f>
        <v>5757.25</v>
      </c>
      <c r="F18" s="566">
        <f t="shared" ref="F18" si="29">$F$38/12</f>
        <v>3171.4166666666665</v>
      </c>
      <c r="G18" s="566">
        <f t="shared" ref="G18" si="30">$G$38/12</f>
        <v>1880.6666666666667</v>
      </c>
      <c r="H18" s="565">
        <f t="shared" si="2"/>
        <v>77539.748500000016</v>
      </c>
      <c r="I18" s="180"/>
      <c r="J18" s="182"/>
    </row>
    <row r="19" spans="1:10" s="78" customFormat="1" ht="28.5" customHeight="1" x14ac:dyDescent="0.2">
      <c r="A19" s="175" t="s">
        <v>610</v>
      </c>
      <c r="B19" s="566">
        <f>B39/12</f>
        <v>17609.946333333333</v>
      </c>
      <c r="C19" s="566">
        <f>C39/12</f>
        <v>1042.3333333333333</v>
      </c>
      <c r="D19" s="567">
        <f t="shared" ref="D19" si="31">$D$39/12</f>
        <v>1777</v>
      </c>
      <c r="E19" s="567">
        <f t="shared" ref="E19" si="32">$E$39/12</f>
        <v>3932.3333333333335</v>
      </c>
      <c r="F19" s="567">
        <f t="shared" ref="F19" si="33">$F$39/12</f>
        <v>912.66666666666663</v>
      </c>
      <c r="G19" s="567">
        <f t="shared" ref="G19" si="34">$G$39/12</f>
        <v>276.58333333333331</v>
      </c>
      <c r="H19" s="565">
        <f t="shared" si="2"/>
        <v>25550.862999999998</v>
      </c>
      <c r="I19" s="184"/>
      <c r="J19" s="185"/>
    </row>
    <row r="20" spans="1:10" s="76" customFormat="1" ht="28.5" customHeight="1" x14ac:dyDescent="0.2">
      <c r="A20" s="177" t="s">
        <v>616</v>
      </c>
      <c r="B20" s="566">
        <f>B$38/12</f>
        <v>36598.331833333337</v>
      </c>
      <c r="C20" s="566">
        <f>C38/12</f>
        <v>13712.5</v>
      </c>
      <c r="D20" s="566">
        <f t="shared" ref="D20" si="35">$D$38/12</f>
        <v>16419.583333333332</v>
      </c>
      <c r="E20" s="566">
        <f t="shared" ref="E20" si="36">$E$38/12</f>
        <v>5757.25</v>
      </c>
      <c r="F20" s="566">
        <f t="shared" ref="F20" si="37">$F$38/12</f>
        <v>3171.4166666666665</v>
      </c>
      <c r="G20" s="566">
        <f t="shared" ref="G20" si="38">$G$38/12</f>
        <v>1880.6666666666667</v>
      </c>
      <c r="H20" s="565">
        <f t="shared" si="2"/>
        <v>77539.748500000016</v>
      </c>
      <c r="I20" s="180"/>
      <c r="J20" s="182"/>
    </row>
    <row r="21" spans="1:10" s="77" customFormat="1" ht="28.5" customHeight="1" x14ac:dyDescent="0.2">
      <c r="A21" s="175" t="s">
        <v>610</v>
      </c>
      <c r="B21" s="567">
        <f>B$39/12</f>
        <v>17609.946333333333</v>
      </c>
      <c r="C21" s="567">
        <f>C39/12</f>
        <v>1042.3333333333333</v>
      </c>
      <c r="D21" s="567">
        <f t="shared" ref="D21" si="39">$D$39/12</f>
        <v>1777</v>
      </c>
      <c r="E21" s="567">
        <f t="shared" ref="E21" si="40">$E$39/12</f>
        <v>3932.3333333333335</v>
      </c>
      <c r="F21" s="567">
        <f t="shared" ref="F21" si="41">$F$39/12</f>
        <v>912.66666666666663</v>
      </c>
      <c r="G21" s="567">
        <f t="shared" ref="G21" si="42">$G$39/12</f>
        <v>276.58333333333331</v>
      </c>
      <c r="H21" s="565">
        <f t="shared" si="2"/>
        <v>25550.862999999998</v>
      </c>
      <c r="I21" s="178"/>
      <c r="J21" s="181"/>
    </row>
    <row r="22" spans="1:10" s="76" customFormat="1" ht="28.5" customHeight="1" x14ac:dyDescent="0.2">
      <c r="A22" s="177" t="s">
        <v>617</v>
      </c>
      <c r="B22" s="566">
        <f>B$38/12</f>
        <v>36598.331833333337</v>
      </c>
      <c r="C22" s="566">
        <f>C38/12</f>
        <v>13712.5</v>
      </c>
      <c r="D22" s="566">
        <f t="shared" ref="D22" si="43">$D$38/12</f>
        <v>16419.583333333332</v>
      </c>
      <c r="E22" s="566">
        <f t="shared" ref="E22" si="44">$E$38/12</f>
        <v>5757.25</v>
      </c>
      <c r="F22" s="566">
        <f t="shared" ref="F22" si="45">$F$38/12</f>
        <v>3171.4166666666665</v>
      </c>
      <c r="G22" s="566">
        <f t="shared" ref="G22" si="46">$G$38/12</f>
        <v>1880.6666666666667</v>
      </c>
      <c r="H22" s="565">
        <f t="shared" si="2"/>
        <v>77539.748500000016</v>
      </c>
      <c r="I22" s="180"/>
      <c r="J22" s="182"/>
    </row>
    <row r="23" spans="1:10" s="77" customFormat="1" ht="28.5" customHeight="1" x14ac:dyDescent="0.2">
      <c r="A23" s="175" t="s">
        <v>610</v>
      </c>
      <c r="B23" s="567">
        <f>B$39/12</f>
        <v>17609.946333333333</v>
      </c>
      <c r="C23" s="567">
        <f>C39/12</f>
        <v>1042.3333333333333</v>
      </c>
      <c r="D23" s="567">
        <f t="shared" ref="D23" si="47">$D$39/12</f>
        <v>1777</v>
      </c>
      <c r="E23" s="567">
        <f t="shared" ref="E23" si="48">$E$39/12</f>
        <v>3932.3333333333335</v>
      </c>
      <c r="F23" s="567">
        <f t="shared" ref="F23" si="49">$F$39/12</f>
        <v>912.66666666666663</v>
      </c>
      <c r="G23" s="567">
        <f t="shared" ref="G23" si="50">$G$39/12</f>
        <v>276.58333333333331</v>
      </c>
      <c r="H23" s="565">
        <f t="shared" si="2"/>
        <v>25550.862999999998</v>
      </c>
      <c r="I23" s="178"/>
      <c r="J23" s="181"/>
    </row>
    <row r="24" spans="1:10" s="76" customFormat="1" ht="28.5" customHeight="1" x14ac:dyDescent="0.2">
      <c r="A24" s="177" t="s">
        <v>618</v>
      </c>
      <c r="B24" s="566">
        <f>B$38/12</f>
        <v>36598.331833333337</v>
      </c>
      <c r="C24" s="566">
        <f>C38/12</f>
        <v>13712.5</v>
      </c>
      <c r="D24" s="566">
        <f t="shared" ref="D24" si="51">$D$38/12</f>
        <v>16419.583333333332</v>
      </c>
      <c r="E24" s="566">
        <f t="shared" ref="E24" si="52">$E$38/12</f>
        <v>5757.25</v>
      </c>
      <c r="F24" s="566">
        <f t="shared" ref="F24" si="53">$F$38/12</f>
        <v>3171.4166666666665</v>
      </c>
      <c r="G24" s="566">
        <f t="shared" ref="G24" si="54">$G$38/12</f>
        <v>1880.6666666666667</v>
      </c>
      <c r="H24" s="565">
        <f t="shared" si="2"/>
        <v>77539.748500000016</v>
      </c>
      <c r="I24" s="180"/>
      <c r="J24" s="182"/>
    </row>
    <row r="25" spans="1:10" s="77" customFormat="1" ht="28.5" customHeight="1" x14ac:dyDescent="0.2">
      <c r="A25" s="175" t="s">
        <v>610</v>
      </c>
      <c r="B25" s="567">
        <f>B$39/12</f>
        <v>17609.946333333333</v>
      </c>
      <c r="C25" s="567">
        <f>C$39/12</f>
        <v>1042.3333333333333</v>
      </c>
      <c r="D25" s="567">
        <f t="shared" ref="D25" si="55">$D$39/12</f>
        <v>1777</v>
      </c>
      <c r="E25" s="567">
        <f t="shared" ref="E25" si="56">$E$39/12</f>
        <v>3932.3333333333335</v>
      </c>
      <c r="F25" s="567">
        <f t="shared" ref="F25" si="57">$F$39/12</f>
        <v>912.66666666666663</v>
      </c>
      <c r="G25" s="567">
        <f t="shared" ref="G25" si="58">$G$39/12</f>
        <v>276.58333333333331</v>
      </c>
      <c r="H25" s="565">
        <f t="shared" si="2"/>
        <v>25550.862999999998</v>
      </c>
      <c r="I25" s="181"/>
      <c r="J25" s="181"/>
    </row>
    <row r="26" spans="1:10" s="76" customFormat="1" ht="28.5" customHeight="1" x14ac:dyDescent="0.2">
      <c r="A26" s="177" t="s">
        <v>619</v>
      </c>
      <c r="B26" s="566">
        <f>B$38/12</f>
        <v>36598.331833333337</v>
      </c>
      <c r="C26" s="566">
        <f t="shared" ref="C26" si="59">$C$38/12</f>
        <v>13712.5</v>
      </c>
      <c r="D26" s="566">
        <f t="shared" ref="D26" si="60">$D$38/12</f>
        <v>16419.583333333332</v>
      </c>
      <c r="E26" s="566">
        <f t="shared" ref="E26" si="61">$E$38/12</f>
        <v>5757.25</v>
      </c>
      <c r="F26" s="566">
        <f t="shared" ref="F26" si="62">$F$38/12</f>
        <v>3171.4166666666665</v>
      </c>
      <c r="G26" s="566">
        <f t="shared" ref="G26" si="63">$G$38/12</f>
        <v>1880.6666666666667</v>
      </c>
      <c r="H26" s="565">
        <f t="shared" si="2"/>
        <v>77539.748500000016</v>
      </c>
      <c r="I26" s="182"/>
      <c r="J26" s="182"/>
    </row>
    <row r="27" spans="1:10" s="77" customFormat="1" ht="28.5" customHeight="1" x14ac:dyDescent="0.2">
      <c r="A27" s="175" t="s">
        <v>610</v>
      </c>
      <c r="B27" s="567">
        <f>B$39/12</f>
        <v>17609.946333333333</v>
      </c>
      <c r="C27" s="567">
        <f t="shared" ref="C27" si="64">$C$39/12</f>
        <v>1042.3333333333333</v>
      </c>
      <c r="D27" s="567">
        <f t="shared" ref="D27" si="65">$D$39/12</f>
        <v>1777</v>
      </c>
      <c r="E27" s="567">
        <f t="shared" ref="E27" si="66">$E$39/12</f>
        <v>3932.3333333333335</v>
      </c>
      <c r="F27" s="567">
        <f t="shared" ref="F27" si="67">$F$39/12</f>
        <v>912.66666666666663</v>
      </c>
      <c r="G27" s="567">
        <f t="shared" ref="G27" si="68">$G$39/12</f>
        <v>276.58333333333331</v>
      </c>
      <c r="H27" s="565">
        <f t="shared" si="2"/>
        <v>25550.862999999998</v>
      </c>
      <c r="I27" s="181"/>
      <c r="J27" s="181"/>
    </row>
    <row r="28" spans="1:10" s="76" customFormat="1" ht="28.5" customHeight="1" x14ac:dyDescent="0.2">
      <c r="A28" s="177" t="s">
        <v>620</v>
      </c>
      <c r="B28" s="566">
        <f>B$38/12</f>
        <v>36598.331833333337</v>
      </c>
      <c r="C28" s="566">
        <f t="shared" ref="C28" si="69">$C$38/12</f>
        <v>13712.5</v>
      </c>
      <c r="D28" s="566">
        <f t="shared" ref="D28" si="70">$D$38/12</f>
        <v>16419.583333333332</v>
      </c>
      <c r="E28" s="566">
        <f t="shared" ref="E28" si="71">$E$38/12</f>
        <v>5757.25</v>
      </c>
      <c r="F28" s="566">
        <f t="shared" ref="F28" si="72">$F$38/12</f>
        <v>3171.4166666666665</v>
      </c>
      <c r="G28" s="566">
        <f t="shared" ref="G28" si="73">$G$38/12</f>
        <v>1880.6666666666667</v>
      </c>
      <c r="H28" s="565">
        <f t="shared" si="2"/>
        <v>77539.748500000016</v>
      </c>
      <c r="I28" s="186"/>
      <c r="J28" s="182"/>
    </row>
    <row r="29" spans="1:10" s="79" customFormat="1" ht="28.5" customHeight="1" x14ac:dyDescent="0.2">
      <c r="A29" s="175" t="s">
        <v>610</v>
      </c>
      <c r="B29" s="567">
        <f>B$39/12</f>
        <v>17609.946333333333</v>
      </c>
      <c r="C29" s="567">
        <f t="shared" ref="C29" si="74">$C$39/12</f>
        <v>1042.3333333333333</v>
      </c>
      <c r="D29" s="567">
        <f t="shared" ref="D29" si="75">$D$39/12</f>
        <v>1777</v>
      </c>
      <c r="E29" s="567">
        <f t="shared" ref="E29" si="76">$E$39/12</f>
        <v>3932.3333333333335</v>
      </c>
      <c r="F29" s="567">
        <f t="shared" ref="F29" si="77">$F$39/12</f>
        <v>912.66666666666663</v>
      </c>
      <c r="G29" s="567">
        <f t="shared" ref="G29" si="78">$G$39/12</f>
        <v>276.58333333333331</v>
      </c>
      <c r="H29" s="565">
        <f t="shared" si="2"/>
        <v>25550.862999999998</v>
      </c>
      <c r="I29" s="187"/>
      <c r="J29" s="188"/>
    </row>
    <row r="30" spans="1:10" s="80" customFormat="1" ht="28.5" customHeight="1" x14ac:dyDescent="0.2">
      <c r="A30" s="177" t="s">
        <v>621</v>
      </c>
      <c r="B30" s="566">
        <f>B$38/12</f>
        <v>36598.331833333337</v>
      </c>
      <c r="C30" s="566">
        <f t="shared" ref="C30" si="79">$C$38/12</f>
        <v>13712.5</v>
      </c>
      <c r="D30" s="566">
        <f t="shared" ref="D30" si="80">$D$38/12</f>
        <v>16419.583333333332</v>
      </c>
      <c r="E30" s="566">
        <f t="shared" ref="E30" si="81">$E$38/12</f>
        <v>5757.25</v>
      </c>
      <c r="F30" s="566">
        <f t="shared" ref="F30" si="82">$F$38/12</f>
        <v>3171.4166666666665</v>
      </c>
      <c r="G30" s="566">
        <f t="shared" ref="G30" si="83">$G$38/12</f>
        <v>1880.6666666666667</v>
      </c>
      <c r="H30" s="565">
        <f t="shared" si="2"/>
        <v>77539.748500000016</v>
      </c>
      <c r="I30" s="189"/>
      <c r="J30" s="190"/>
    </row>
    <row r="31" spans="1:10" s="79" customFormat="1" ht="28.5" customHeight="1" x14ac:dyDescent="0.2">
      <c r="A31" s="175" t="s">
        <v>610</v>
      </c>
      <c r="B31" s="567">
        <f>B$39/12</f>
        <v>17609.946333333333</v>
      </c>
      <c r="C31" s="567">
        <f t="shared" ref="C31" si="84">$C$39/12</f>
        <v>1042.3333333333333</v>
      </c>
      <c r="D31" s="567">
        <f t="shared" ref="D31" si="85">$D$39/12</f>
        <v>1777</v>
      </c>
      <c r="E31" s="567">
        <f t="shared" ref="E31" si="86">$E$39/12</f>
        <v>3932.3333333333335</v>
      </c>
      <c r="F31" s="567">
        <f t="shared" ref="F31" si="87">$F$39/12</f>
        <v>912.66666666666663</v>
      </c>
      <c r="G31" s="567">
        <f t="shared" ref="G31" si="88">$G$39/12</f>
        <v>276.58333333333331</v>
      </c>
      <c r="H31" s="565">
        <f t="shared" si="2"/>
        <v>25550.862999999998</v>
      </c>
      <c r="I31" s="187"/>
      <c r="J31" s="188"/>
    </row>
    <row r="32" spans="1:10" s="80" customFormat="1" ht="28.5" customHeight="1" x14ac:dyDescent="0.2">
      <c r="A32" s="177" t="s">
        <v>622</v>
      </c>
      <c r="B32" s="566">
        <f>B$38/12</f>
        <v>36598.331833333337</v>
      </c>
      <c r="C32" s="566">
        <f t="shared" ref="C32" si="89">$C$38/12</f>
        <v>13712.5</v>
      </c>
      <c r="D32" s="566">
        <f t="shared" ref="D32" si="90">$D$38/12</f>
        <v>16419.583333333332</v>
      </c>
      <c r="E32" s="566">
        <f t="shared" ref="E32" si="91">$E$38/12</f>
        <v>5757.25</v>
      </c>
      <c r="F32" s="566">
        <f t="shared" ref="F32" si="92">$F$38/12</f>
        <v>3171.4166666666665</v>
      </c>
      <c r="G32" s="566">
        <f t="shared" ref="G32" si="93">$G$38/12</f>
        <v>1880.6666666666667</v>
      </c>
      <c r="H32" s="565">
        <f t="shared" si="2"/>
        <v>77539.748500000016</v>
      </c>
      <c r="I32" s="189"/>
      <c r="J32" s="190"/>
    </row>
    <row r="33" spans="1:13" s="79" customFormat="1" ht="28.5" customHeight="1" thickBot="1" x14ac:dyDescent="0.25">
      <c r="A33" s="191" t="s">
        <v>610</v>
      </c>
      <c r="B33" s="567">
        <f>B$39/12</f>
        <v>17609.946333333333</v>
      </c>
      <c r="C33" s="567">
        <f t="shared" ref="C33" si="94">$C$39/12</f>
        <v>1042.3333333333333</v>
      </c>
      <c r="D33" s="567">
        <f t="shared" ref="D33" si="95">$D$39/12</f>
        <v>1777</v>
      </c>
      <c r="E33" s="567">
        <f t="shared" ref="E33" si="96">$E$39/12</f>
        <v>3932.3333333333335</v>
      </c>
      <c r="F33" s="567">
        <f t="shared" ref="F33" si="97">$F$39/12</f>
        <v>912.66666666666663</v>
      </c>
      <c r="G33" s="567">
        <f t="shared" ref="G33" si="98">$G$39/12</f>
        <v>276.58333333333331</v>
      </c>
      <c r="H33" s="565">
        <f t="shared" si="2"/>
        <v>25550.862999999998</v>
      </c>
      <c r="I33" s="187"/>
      <c r="J33" s="188"/>
    </row>
    <row r="34" spans="1:13" s="80" customFormat="1" ht="28.5" customHeight="1" thickBot="1" x14ac:dyDescent="0.25">
      <c r="A34" s="192" t="s">
        <v>144</v>
      </c>
      <c r="B34" s="568">
        <f t="shared" ref="B34" si="99">B10+B12+B14+B16+B18+B20+B22+B24+B26+B28+B30+B32</f>
        <v>439179.98200000013</v>
      </c>
      <c r="C34" s="568">
        <f t="shared" ref="C34:F35" si="100">C10+C12+C14+C16+C18+C20+C22+C24+C26+C28+C30+C32</f>
        <v>164550</v>
      </c>
      <c r="D34" s="568">
        <f t="shared" si="100"/>
        <v>197035.00000000003</v>
      </c>
      <c r="E34" s="568">
        <f t="shared" si="100"/>
        <v>69087</v>
      </c>
      <c r="F34" s="568">
        <f t="shared" si="100"/>
        <v>38057</v>
      </c>
      <c r="G34" s="568">
        <f>G10+G12+G14+G16+G18+G20+G22+G24+G26+G28+G30+G32</f>
        <v>22568.000000000004</v>
      </c>
      <c r="H34" s="568">
        <f t="shared" si="2"/>
        <v>930476.98200000008</v>
      </c>
      <c r="I34" s="189"/>
      <c r="J34" s="190"/>
    </row>
    <row r="35" spans="1:13" ht="28.5" customHeight="1" thickBot="1" x14ac:dyDescent="0.25">
      <c r="A35" s="194" t="s">
        <v>610</v>
      </c>
      <c r="B35" s="569">
        <f t="shared" ref="B35" si="101">B11+B13+B15+B17+B19+B21+B23+B25+B27+B29+B31+B33</f>
        <v>211319.35599999994</v>
      </c>
      <c r="C35" s="569">
        <f t="shared" si="100"/>
        <v>12508.000000000002</v>
      </c>
      <c r="D35" s="569">
        <f t="shared" si="100"/>
        <v>21324</v>
      </c>
      <c r="E35" s="569">
        <f t="shared" si="100"/>
        <v>47188.000000000007</v>
      </c>
      <c r="F35" s="569">
        <f t="shared" si="100"/>
        <v>10951.999999999998</v>
      </c>
      <c r="G35" s="569">
        <f>G11+G13+G15+G17+G19+G21+G23+G25+G27+G29+G31+G33</f>
        <v>3319.0000000000005</v>
      </c>
      <c r="H35" s="569">
        <f t="shared" si="2"/>
        <v>306610.35599999997</v>
      </c>
      <c r="I35" s="193"/>
      <c r="J35" s="169"/>
      <c r="L35" s="82"/>
      <c r="M35" s="82"/>
    </row>
    <row r="36" spans="1:13" s="80" customFormat="1" ht="28.5" customHeight="1" x14ac:dyDescent="0.2">
      <c r="A36" s="84"/>
      <c r="B36" s="85"/>
      <c r="C36" s="81"/>
      <c r="D36" s="81"/>
      <c r="E36" s="74"/>
      <c r="F36" s="74"/>
      <c r="G36" s="74"/>
      <c r="H36" s="74"/>
      <c r="I36" s="190"/>
      <c r="J36" s="190"/>
      <c r="L36" s="83"/>
      <c r="M36" s="82"/>
    </row>
    <row r="37" spans="1:13" ht="15.75" customHeight="1" x14ac:dyDescent="0.2">
      <c r="A37" s="81"/>
      <c r="B37" s="85"/>
      <c r="C37" s="81"/>
      <c r="D37" s="81"/>
    </row>
    <row r="38" spans="1:13" ht="15.75" customHeight="1" x14ac:dyDescent="0.2">
      <c r="A38" s="81" t="s">
        <v>773</v>
      </c>
      <c r="B38" s="740">
        <f>'2.Bevételek_részletes'!I46</f>
        <v>439179.98200000002</v>
      </c>
      <c r="C38" s="482">
        <f>'3. Gesz költségvetés'!D33</f>
        <v>164550</v>
      </c>
      <c r="D38" s="482">
        <f>'3. Gesz költségvetés'!I33</f>
        <v>197035</v>
      </c>
      <c r="E38" s="82">
        <f>'3. Gesz költségvetés'!N33</f>
        <v>69087</v>
      </c>
      <c r="F38" s="82">
        <f>'3. Gesz költségvetés'!S33</f>
        <v>38057</v>
      </c>
      <c r="G38" s="82">
        <f>'3. Gesz költségvetés'!X33</f>
        <v>22568</v>
      </c>
      <c r="H38" s="79">
        <f>SUM(B38:G38)</f>
        <v>930476.98200000008</v>
      </c>
      <c r="J38" s="74" t="s">
        <v>963</v>
      </c>
    </row>
    <row r="39" spans="1:13" ht="14.25" x14ac:dyDescent="0.2">
      <c r="A39" s="81" t="s">
        <v>774</v>
      </c>
      <c r="B39" s="740">
        <f>'2.Kiadások_részletes '!I13</f>
        <v>211319.356</v>
      </c>
      <c r="C39" s="482">
        <f>'3. Gesz költségvetés'!D41</f>
        <v>12508</v>
      </c>
      <c r="D39" s="482">
        <f>'3. Gesz költségvetés'!I41</f>
        <v>21324</v>
      </c>
      <c r="E39" s="82">
        <f>'3. Gesz költségvetés'!N41</f>
        <v>47188</v>
      </c>
      <c r="F39" s="82">
        <f>'3. Gesz költségvetés'!S41</f>
        <v>10952</v>
      </c>
      <c r="G39" s="82">
        <f>'3. Gesz költségvetés'!X41</f>
        <v>3319</v>
      </c>
      <c r="H39" s="79">
        <f>SUM(B39:G39)</f>
        <v>306610.35600000003</v>
      </c>
    </row>
    <row r="40" spans="1:13" ht="14.25" x14ac:dyDescent="0.2">
      <c r="A40" s="81"/>
      <c r="B40" s="85"/>
      <c r="C40" s="81"/>
      <c r="D40" s="81"/>
    </row>
    <row r="41" spans="1:13" ht="14.25" x14ac:dyDescent="0.2">
      <c r="A41" s="81"/>
      <c r="B41" s="85"/>
      <c r="C41" s="81"/>
      <c r="D41" s="81"/>
    </row>
    <row r="42" spans="1:13" ht="14.25" x14ac:dyDescent="0.2">
      <c r="A42" s="81"/>
      <c r="B42" s="85"/>
      <c r="C42" s="81"/>
      <c r="D42" s="81"/>
    </row>
    <row r="43" spans="1:13" x14ac:dyDescent="0.2">
      <c r="A43" s="81"/>
      <c r="B43" s="482">
        <f>B34-B38</f>
        <v>0</v>
      </c>
      <c r="C43" s="482">
        <f>C34-C38</f>
        <v>0</v>
      </c>
      <c r="D43" s="482">
        <f t="shared" ref="D43:H44" si="102">D34-D38</f>
        <v>0</v>
      </c>
      <c r="E43" s="482">
        <f t="shared" si="102"/>
        <v>0</v>
      </c>
      <c r="F43" s="482">
        <f t="shared" si="102"/>
        <v>0</v>
      </c>
      <c r="G43" s="482">
        <f t="shared" si="102"/>
        <v>0</v>
      </c>
      <c r="H43" s="482">
        <f t="shared" si="102"/>
        <v>0</v>
      </c>
    </row>
    <row r="44" spans="1:13" x14ac:dyDescent="0.2">
      <c r="A44" s="81"/>
      <c r="B44" s="482">
        <f>B35-B39</f>
        <v>0</v>
      </c>
      <c r="C44" s="482">
        <f>C35-C39</f>
        <v>0</v>
      </c>
      <c r="D44" s="482">
        <f t="shared" si="102"/>
        <v>0</v>
      </c>
      <c r="E44" s="482">
        <f t="shared" si="102"/>
        <v>0</v>
      </c>
      <c r="F44" s="482">
        <f t="shared" si="102"/>
        <v>0</v>
      </c>
      <c r="G44" s="482">
        <f t="shared" si="102"/>
        <v>0</v>
      </c>
      <c r="H44" s="482">
        <f t="shared" si="102"/>
        <v>0</v>
      </c>
    </row>
    <row r="45" spans="1:13" ht="14.25" x14ac:dyDescent="0.2">
      <c r="A45" s="81"/>
      <c r="B45" s="85"/>
      <c r="C45" s="81"/>
      <c r="D45" s="81"/>
    </row>
    <row r="46" spans="1:13" ht="14.25" x14ac:dyDescent="0.2">
      <c r="A46" s="81"/>
      <c r="B46" s="85"/>
      <c r="C46" s="81"/>
      <c r="D46" s="81"/>
    </row>
    <row r="47" spans="1:13" ht="14.25" x14ac:dyDescent="0.2">
      <c r="A47" s="81"/>
      <c r="B47" s="85"/>
      <c r="C47" s="81"/>
      <c r="D47" s="81"/>
    </row>
    <row r="48" spans="1:13" ht="14.25" x14ac:dyDescent="0.2">
      <c r="A48" s="81"/>
      <c r="B48" s="85"/>
      <c r="C48" s="81"/>
      <c r="D48" s="81"/>
    </row>
    <row r="49" spans="1:4" ht="14.25" x14ac:dyDescent="0.2">
      <c r="A49" s="81"/>
      <c r="B49" s="85"/>
      <c r="C49" s="81"/>
      <c r="D49" s="81"/>
    </row>
    <row r="50" spans="1:4" ht="14.25" x14ac:dyDescent="0.2">
      <c r="A50" s="81"/>
      <c r="B50" s="85"/>
      <c r="C50" s="81"/>
      <c r="D50" s="81"/>
    </row>
    <row r="51" spans="1:4" ht="14.25" x14ac:dyDescent="0.2">
      <c r="A51" s="81"/>
      <c r="B51" s="85"/>
      <c r="C51" s="81"/>
      <c r="D51" s="81"/>
    </row>
    <row r="52" spans="1:4" ht="14.25" x14ac:dyDescent="0.2">
      <c r="A52" s="81"/>
      <c r="B52" s="85"/>
      <c r="C52" s="81"/>
      <c r="D52" s="81"/>
    </row>
    <row r="53" spans="1:4" ht="14.25" x14ac:dyDescent="0.2">
      <c r="A53" s="81"/>
      <c r="B53" s="85"/>
      <c r="C53" s="81"/>
      <c r="D53" s="81"/>
    </row>
    <row r="54" spans="1:4" ht="14.25" x14ac:dyDescent="0.2">
      <c r="A54" s="81"/>
      <c r="B54" s="85"/>
      <c r="C54" s="81"/>
      <c r="D54" s="81"/>
    </row>
    <row r="55" spans="1:4" ht="14.25" x14ac:dyDescent="0.2">
      <c r="A55" s="81"/>
      <c r="B55" s="85"/>
      <c r="C55" s="81"/>
      <c r="D55" s="81"/>
    </row>
    <row r="56" spans="1:4" ht="14.25" x14ac:dyDescent="0.2">
      <c r="A56" s="81"/>
      <c r="B56" s="85"/>
      <c r="C56" s="81"/>
      <c r="D56" s="81"/>
    </row>
    <row r="57" spans="1:4" ht="14.25" x14ac:dyDescent="0.2">
      <c r="A57" s="81"/>
      <c r="B57" s="85"/>
      <c r="C57" s="81"/>
      <c r="D57" s="81"/>
    </row>
    <row r="58" spans="1:4" ht="14.25" x14ac:dyDescent="0.2">
      <c r="A58" s="81"/>
      <c r="B58" s="85"/>
      <c r="C58" s="81"/>
      <c r="D58" s="81"/>
    </row>
    <row r="59" spans="1:4" ht="14.25" x14ac:dyDescent="0.2">
      <c r="A59" s="81"/>
      <c r="B59" s="85"/>
      <c r="C59" s="81"/>
      <c r="D59" s="81"/>
    </row>
    <row r="60" spans="1:4" ht="14.25" x14ac:dyDescent="0.2">
      <c r="A60" s="81"/>
      <c r="B60" s="85"/>
      <c r="C60" s="81"/>
      <c r="D60" s="81"/>
    </row>
    <row r="61" spans="1:4" ht="14.25" x14ac:dyDescent="0.2">
      <c r="A61" s="81"/>
      <c r="B61" s="85"/>
      <c r="C61" s="81"/>
      <c r="D61" s="81"/>
    </row>
    <row r="62" spans="1:4" ht="14.25" x14ac:dyDescent="0.2">
      <c r="A62" s="81"/>
      <c r="B62" s="85"/>
      <c r="C62" s="81"/>
      <c r="D62" s="81"/>
    </row>
    <row r="63" spans="1:4" ht="14.25" x14ac:dyDescent="0.2">
      <c r="A63" s="81"/>
      <c r="B63" s="85"/>
      <c r="C63" s="81"/>
      <c r="D63" s="81"/>
    </row>
    <row r="64" spans="1:4" ht="14.25" x14ac:dyDescent="0.2">
      <c r="A64" s="81"/>
      <c r="B64" s="85"/>
      <c r="C64" s="81"/>
      <c r="D64" s="81"/>
    </row>
    <row r="65" spans="1:4" ht="14.25" x14ac:dyDescent="0.2">
      <c r="A65" s="81"/>
      <c r="B65" s="85"/>
      <c r="C65" s="81"/>
      <c r="D65" s="81"/>
    </row>
    <row r="66" spans="1:4" x14ac:dyDescent="0.2">
      <c r="A66" s="81"/>
      <c r="B66" s="81"/>
      <c r="C66" s="81"/>
      <c r="D66" s="81"/>
    </row>
    <row r="67" spans="1:4" x14ac:dyDescent="0.2">
      <c r="A67" s="81"/>
      <c r="B67" s="81"/>
      <c r="C67" s="81"/>
      <c r="D67" s="81"/>
    </row>
    <row r="68" spans="1:4" x14ac:dyDescent="0.2">
      <c r="A68" s="81"/>
      <c r="B68" s="81"/>
      <c r="C68" s="81"/>
      <c r="D68" s="81"/>
    </row>
    <row r="69" spans="1:4" x14ac:dyDescent="0.2">
      <c r="A69" s="81">
        <v>48</v>
      </c>
      <c r="B69" s="81"/>
      <c r="C69" s="81"/>
      <c r="D69" s="81"/>
    </row>
    <row r="70" spans="1:4" x14ac:dyDescent="0.2">
      <c r="A70" s="81">
        <v>49</v>
      </c>
      <c r="B70" s="81"/>
      <c r="C70" s="81"/>
      <c r="D70" s="81"/>
    </row>
    <row r="71" spans="1:4" x14ac:dyDescent="0.2">
      <c r="A71" s="81">
        <v>50</v>
      </c>
      <c r="B71" s="81"/>
      <c r="C71" s="81"/>
      <c r="D71" s="81"/>
    </row>
    <row r="72" spans="1:4" x14ac:dyDescent="0.2">
      <c r="A72" s="81">
        <v>51</v>
      </c>
      <c r="B72" s="81"/>
      <c r="C72" s="81"/>
      <c r="D72" s="81"/>
    </row>
    <row r="73" spans="1:4" x14ac:dyDescent="0.2">
      <c r="A73" s="81">
        <v>52</v>
      </c>
      <c r="B73" s="81"/>
      <c r="C73" s="81"/>
      <c r="D73" s="81"/>
    </row>
    <row r="74" spans="1:4" x14ac:dyDescent="0.2">
      <c r="A74" s="81">
        <v>53</v>
      </c>
      <c r="B74" s="81"/>
      <c r="C74" s="81"/>
      <c r="D74" s="81"/>
    </row>
    <row r="75" spans="1:4" x14ac:dyDescent="0.2">
      <c r="A75" s="81">
        <v>54</v>
      </c>
      <c r="B75" s="81"/>
      <c r="C75" s="81"/>
      <c r="D75" s="81"/>
    </row>
    <row r="76" spans="1:4" x14ac:dyDescent="0.2">
      <c r="A76" s="81">
        <v>55</v>
      </c>
      <c r="B76" s="81"/>
      <c r="C76" s="81"/>
      <c r="D76" s="81"/>
    </row>
    <row r="77" spans="1:4" x14ac:dyDescent="0.2">
      <c r="A77" s="81">
        <v>56</v>
      </c>
      <c r="B77" s="81"/>
      <c r="C77" s="81"/>
      <c r="D77" s="81"/>
    </row>
    <row r="78" spans="1:4" x14ac:dyDescent="0.2">
      <c r="A78" s="81">
        <v>57</v>
      </c>
      <c r="B78" s="81"/>
      <c r="C78" s="81"/>
      <c r="D78" s="81"/>
    </row>
    <row r="79" spans="1:4" x14ac:dyDescent="0.2">
      <c r="A79" s="81">
        <v>58</v>
      </c>
      <c r="B79" s="81"/>
      <c r="C79" s="81"/>
      <c r="D79" s="81"/>
    </row>
    <row r="80" spans="1:4" x14ac:dyDescent="0.2">
      <c r="A80" s="81">
        <v>59</v>
      </c>
      <c r="B80" s="81"/>
      <c r="C80" s="81"/>
      <c r="D80" s="81"/>
    </row>
    <row r="81" spans="1:4" x14ac:dyDescent="0.2">
      <c r="A81" s="81">
        <v>60</v>
      </c>
      <c r="B81" s="81"/>
      <c r="C81" s="81"/>
      <c r="D81" s="81"/>
    </row>
    <row r="82" spans="1:4" x14ac:dyDescent="0.2">
      <c r="A82" s="81">
        <v>61</v>
      </c>
      <c r="B82" s="81"/>
      <c r="C82" s="81"/>
      <c r="D82" s="81"/>
    </row>
    <row r="83" spans="1:4" x14ac:dyDescent="0.2">
      <c r="A83" s="81"/>
      <c r="B83" s="81"/>
      <c r="C83" s="81"/>
      <c r="D83" s="81"/>
    </row>
    <row r="84" spans="1:4" x14ac:dyDescent="0.2">
      <c r="A84" s="81"/>
      <c r="B84" s="81"/>
      <c r="C84" s="81"/>
      <c r="D84" s="81"/>
    </row>
    <row r="85" spans="1:4" x14ac:dyDescent="0.2">
      <c r="A85" s="81">
        <v>62</v>
      </c>
      <c r="B85" s="81"/>
      <c r="C85" s="81"/>
      <c r="D85" s="81"/>
    </row>
    <row r="86" spans="1:4" x14ac:dyDescent="0.2">
      <c r="A86" s="81">
        <v>63</v>
      </c>
      <c r="B86" s="81"/>
      <c r="C86" s="81"/>
      <c r="D86" s="81"/>
    </row>
    <row r="87" spans="1:4" x14ac:dyDescent="0.2">
      <c r="A87" s="81">
        <v>64</v>
      </c>
      <c r="B87" s="81"/>
      <c r="C87" s="81"/>
      <c r="D87" s="81"/>
    </row>
    <row r="88" spans="1:4" x14ac:dyDescent="0.2">
      <c r="A88" s="81">
        <v>65</v>
      </c>
      <c r="B88" s="81"/>
      <c r="C88" s="81"/>
      <c r="D88" s="81"/>
    </row>
    <row r="89" spans="1:4" x14ac:dyDescent="0.2">
      <c r="A89" s="81">
        <v>66</v>
      </c>
      <c r="B89" s="81"/>
      <c r="C89" s="81"/>
      <c r="D89" s="81"/>
    </row>
    <row r="90" spans="1:4" x14ac:dyDescent="0.2">
      <c r="A90" s="81">
        <v>67</v>
      </c>
      <c r="B90" s="81"/>
      <c r="C90" s="81"/>
      <c r="D90" s="81"/>
    </row>
    <row r="91" spans="1:4" x14ac:dyDescent="0.2">
      <c r="A91" s="81">
        <v>68</v>
      </c>
      <c r="B91" s="81"/>
      <c r="C91" s="81"/>
      <c r="D91" s="81"/>
    </row>
    <row r="92" spans="1:4" x14ac:dyDescent="0.2">
      <c r="A92" s="81">
        <v>69</v>
      </c>
      <c r="B92" s="81"/>
      <c r="C92" s="81"/>
      <c r="D92" s="81"/>
    </row>
    <row r="93" spans="1:4" x14ac:dyDescent="0.2">
      <c r="A93" s="81">
        <v>70</v>
      </c>
      <c r="B93" s="81"/>
      <c r="C93" s="81"/>
      <c r="D93" s="81"/>
    </row>
    <row r="94" spans="1:4" x14ac:dyDescent="0.2">
      <c r="A94" s="81">
        <v>71</v>
      </c>
      <c r="B94" s="81"/>
      <c r="C94" s="81"/>
      <c r="D94" s="81"/>
    </row>
    <row r="95" spans="1:4" x14ac:dyDescent="0.2">
      <c r="A95" s="81">
        <v>72</v>
      </c>
      <c r="B95" s="81"/>
      <c r="C95" s="81"/>
      <c r="D95" s="81"/>
    </row>
    <row r="96" spans="1:4" x14ac:dyDescent="0.2">
      <c r="A96" s="81">
        <v>73</v>
      </c>
      <c r="B96" s="81"/>
      <c r="C96" s="81"/>
      <c r="D96" s="81"/>
    </row>
    <row r="97" spans="1:4" x14ac:dyDescent="0.2">
      <c r="A97" s="81">
        <v>74</v>
      </c>
      <c r="B97" s="81"/>
      <c r="C97" s="81"/>
      <c r="D97" s="81"/>
    </row>
    <row r="98" spans="1:4" x14ac:dyDescent="0.2">
      <c r="A98" s="81">
        <v>75</v>
      </c>
      <c r="B98" s="81"/>
      <c r="C98" s="81"/>
      <c r="D98" s="81"/>
    </row>
    <row r="99" spans="1:4" x14ac:dyDescent="0.2">
      <c r="A99" s="81"/>
      <c r="B99" s="81"/>
      <c r="C99" s="81"/>
      <c r="D99" s="81"/>
    </row>
    <row r="100" spans="1:4" x14ac:dyDescent="0.2">
      <c r="A100" s="81"/>
      <c r="B100" s="81"/>
      <c r="C100" s="81"/>
      <c r="D100" s="81"/>
    </row>
    <row r="101" spans="1:4" x14ac:dyDescent="0.2">
      <c r="A101" s="81">
        <v>76</v>
      </c>
      <c r="B101" s="81"/>
      <c r="C101" s="81"/>
      <c r="D101" s="81"/>
    </row>
    <row r="102" spans="1:4" x14ac:dyDescent="0.2">
      <c r="A102" s="81">
        <v>77</v>
      </c>
      <c r="B102" s="81"/>
      <c r="C102" s="81"/>
      <c r="D102" s="81"/>
    </row>
    <row r="103" spans="1:4" x14ac:dyDescent="0.2">
      <c r="A103" s="81">
        <v>78</v>
      </c>
      <c r="B103" s="81"/>
      <c r="C103" s="81"/>
      <c r="D103" s="81"/>
    </row>
    <row r="104" spans="1:4" x14ac:dyDescent="0.2">
      <c r="A104" s="81">
        <v>79</v>
      </c>
      <c r="B104" s="81"/>
      <c r="C104" s="81"/>
      <c r="D104" s="81"/>
    </row>
    <row r="105" spans="1:4" x14ac:dyDescent="0.2">
      <c r="A105" s="81">
        <v>80</v>
      </c>
      <c r="B105" s="81"/>
      <c r="C105" s="81"/>
      <c r="D105" s="81"/>
    </row>
    <row r="106" spans="1:4" x14ac:dyDescent="0.2">
      <c r="A106" s="81">
        <v>81</v>
      </c>
      <c r="B106" s="81"/>
      <c r="C106" s="81"/>
      <c r="D106" s="81"/>
    </row>
    <row r="107" spans="1:4" x14ac:dyDescent="0.2">
      <c r="A107" s="81">
        <v>82</v>
      </c>
      <c r="B107" s="81"/>
      <c r="C107" s="81"/>
      <c r="D107" s="81"/>
    </row>
    <row r="108" spans="1:4" x14ac:dyDescent="0.2">
      <c r="A108" s="81">
        <v>83</v>
      </c>
      <c r="B108" s="81"/>
      <c r="C108" s="81"/>
      <c r="D108" s="81"/>
    </row>
    <row r="109" spans="1:4" x14ac:dyDescent="0.2">
      <c r="A109" s="81">
        <v>84</v>
      </c>
      <c r="B109" s="81"/>
      <c r="C109" s="81"/>
      <c r="D109" s="81"/>
    </row>
    <row r="110" spans="1:4" x14ac:dyDescent="0.2">
      <c r="A110" s="81">
        <v>85</v>
      </c>
      <c r="B110" s="81"/>
      <c r="C110" s="81"/>
      <c r="D110" s="81"/>
    </row>
    <row r="111" spans="1:4" x14ac:dyDescent="0.2">
      <c r="A111" s="81">
        <v>86</v>
      </c>
      <c r="B111" s="81"/>
      <c r="C111" s="81"/>
      <c r="D111" s="81"/>
    </row>
    <row r="112" spans="1:4" x14ac:dyDescent="0.2">
      <c r="A112" s="81">
        <v>87</v>
      </c>
      <c r="B112" s="81"/>
      <c r="C112" s="81"/>
      <c r="D112" s="81"/>
    </row>
    <row r="113" spans="1:4" x14ac:dyDescent="0.2">
      <c r="A113" s="81">
        <v>88</v>
      </c>
      <c r="B113" s="81"/>
      <c r="C113" s="81"/>
      <c r="D113" s="81"/>
    </row>
    <row r="114" spans="1:4" x14ac:dyDescent="0.2">
      <c r="A114" s="81">
        <v>89</v>
      </c>
      <c r="B114" s="81"/>
      <c r="C114" s="81"/>
      <c r="D114" s="81"/>
    </row>
    <row r="115" spans="1:4" x14ac:dyDescent="0.2">
      <c r="A115" s="81">
        <v>90</v>
      </c>
      <c r="B115" s="81"/>
      <c r="C115" s="81"/>
      <c r="D115" s="81"/>
    </row>
    <row r="116" spans="1:4" x14ac:dyDescent="0.2">
      <c r="A116" s="81">
        <v>91</v>
      </c>
      <c r="B116" s="81"/>
      <c r="C116" s="81"/>
      <c r="D116" s="81"/>
    </row>
    <row r="117" spans="1:4" x14ac:dyDescent="0.2">
      <c r="A117" s="81">
        <v>92</v>
      </c>
      <c r="B117" s="81"/>
      <c r="C117" s="81"/>
      <c r="D117" s="81"/>
    </row>
    <row r="118" spans="1:4" x14ac:dyDescent="0.2">
      <c r="A118" s="81">
        <v>93</v>
      </c>
      <c r="B118" s="81"/>
      <c r="C118" s="81"/>
      <c r="D118" s="81"/>
    </row>
    <row r="119" spans="1:4" x14ac:dyDescent="0.2">
      <c r="A119" s="81">
        <v>94</v>
      </c>
      <c r="B119" s="81"/>
      <c r="C119" s="81"/>
      <c r="D119" s="81"/>
    </row>
    <row r="120" spans="1:4" x14ac:dyDescent="0.2">
      <c r="A120" s="81">
        <v>95</v>
      </c>
      <c r="B120" s="81"/>
      <c r="C120" s="81"/>
      <c r="D120" s="81"/>
    </row>
    <row r="121" spans="1:4" x14ac:dyDescent="0.2">
      <c r="A121" s="81">
        <v>96</v>
      </c>
      <c r="B121" s="81"/>
      <c r="C121" s="81"/>
      <c r="D121" s="81"/>
    </row>
    <row r="122" spans="1:4" x14ac:dyDescent="0.2">
      <c r="A122" s="81">
        <v>97</v>
      </c>
      <c r="B122" s="81"/>
      <c r="C122" s="81"/>
      <c r="D122" s="81"/>
    </row>
    <row r="123" spans="1:4" x14ac:dyDescent="0.2">
      <c r="A123" s="81">
        <v>98</v>
      </c>
      <c r="B123" s="81"/>
      <c r="C123" s="81"/>
      <c r="D123" s="81"/>
    </row>
    <row r="124" spans="1:4" x14ac:dyDescent="0.2">
      <c r="A124" s="81">
        <v>99</v>
      </c>
      <c r="B124" s="81"/>
      <c r="C124" s="81"/>
      <c r="D124" s="81"/>
    </row>
    <row r="125" spans="1:4" x14ac:dyDescent="0.2">
      <c r="A125" s="81">
        <v>100</v>
      </c>
      <c r="B125" s="81"/>
      <c r="C125" s="81"/>
      <c r="D125" s="81"/>
    </row>
    <row r="126" spans="1:4" x14ac:dyDescent="0.2">
      <c r="A126" s="81">
        <v>101</v>
      </c>
      <c r="B126" s="81"/>
      <c r="C126" s="81"/>
      <c r="D126" s="81"/>
    </row>
    <row r="127" spans="1:4" x14ac:dyDescent="0.2">
      <c r="A127" s="81">
        <v>102</v>
      </c>
      <c r="B127" s="81"/>
      <c r="C127" s="81"/>
      <c r="D127" s="81"/>
    </row>
    <row r="128" spans="1:4" x14ac:dyDescent="0.2">
      <c r="A128" s="81">
        <v>103</v>
      </c>
      <c r="B128" s="81"/>
      <c r="C128" s="81"/>
      <c r="D128" s="81"/>
    </row>
    <row r="129" spans="1:4" x14ac:dyDescent="0.2">
      <c r="A129" s="81">
        <v>104</v>
      </c>
      <c r="B129" s="81"/>
      <c r="C129" s="81"/>
      <c r="D129" s="81"/>
    </row>
    <row r="130" spans="1:4" x14ac:dyDescent="0.2">
      <c r="A130" s="81">
        <v>105</v>
      </c>
      <c r="B130" s="81"/>
      <c r="C130" s="81"/>
      <c r="D130" s="81"/>
    </row>
    <row r="131" spans="1:4" x14ac:dyDescent="0.2">
      <c r="A131" s="81"/>
      <c r="B131" s="81"/>
      <c r="C131" s="81"/>
      <c r="D131" s="81"/>
    </row>
    <row r="132" spans="1:4" x14ac:dyDescent="0.2">
      <c r="A132" s="81"/>
      <c r="B132" s="81"/>
      <c r="C132" s="81"/>
      <c r="D132" s="81"/>
    </row>
    <row r="133" spans="1:4" x14ac:dyDescent="0.2">
      <c r="A133" s="81"/>
      <c r="B133" s="81"/>
      <c r="C133" s="81"/>
      <c r="D133" s="81"/>
    </row>
    <row r="134" spans="1:4" x14ac:dyDescent="0.2">
      <c r="A134" s="81"/>
      <c r="B134" s="81"/>
      <c r="C134" s="81"/>
      <c r="D134" s="81"/>
    </row>
    <row r="135" spans="1:4" x14ac:dyDescent="0.2">
      <c r="A135" s="81"/>
      <c r="B135" s="81"/>
      <c r="C135" s="81"/>
      <c r="D135" s="81"/>
    </row>
    <row r="136" spans="1:4" x14ac:dyDescent="0.2">
      <c r="A136" s="81"/>
      <c r="B136" s="81"/>
      <c r="C136" s="81"/>
      <c r="D136" s="81"/>
    </row>
    <row r="137" spans="1:4" x14ac:dyDescent="0.2">
      <c r="A137" s="81"/>
      <c r="B137" s="81"/>
      <c r="C137" s="81"/>
      <c r="D137" s="81"/>
    </row>
    <row r="138" spans="1:4" x14ac:dyDescent="0.2">
      <c r="A138" s="81"/>
      <c r="B138" s="81"/>
      <c r="C138" s="81"/>
      <c r="D138" s="81"/>
    </row>
    <row r="139" spans="1:4" x14ac:dyDescent="0.2">
      <c r="A139" s="81"/>
      <c r="B139" s="81"/>
      <c r="C139" s="81"/>
      <c r="D139" s="81"/>
    </row>
    <row r="140" spans="1:4" x14ac:dyDescent="0.2">
      <c r="A140" s="81"/>
      <c r="B140" s="81"/>
      <c r="C140" s="81"/>
      <c r="D140" s="81"/>
    </row>
    <row r="141" spans="1:4" x14ac:dyDescent="0.2">
      <c r="A141" s="81"/>
      <c r="B141" s="81"/>
      <c r="C141" s="81"/>
      <c r="D141" s="81"/>
    </row>
    <row r="142" spans="1:4" x14ac:dyDescent="0.2">
      <c r="A142" s="81"/>
      <c r="B142" s="81"/>
      <c r="C142" s="81"/>
      <c r="D142" s="81"/>
    </row>
    <row r="143" spans="1:4" x14ac:dyDescent="0.2">
      <c r="A143" s="81"/>
      <c r="B143" s="81"/>
      <c r="C143" s="81"/>
      <c r="D143" s="81"/>
    </row>
    <row r="144" spans="1:4" x14ac:dyDescent="0.2">
      <c r="A144" s="81"/>
      <c r="B144" s="81"/>
      <c r="C144" s="81"/>
      <c r="D144" s="81"/>
    </row>
    <row r="145" spans="1:4" x14ac:dyDescent="0.2">
      <c r="A145" s="81"/>
      <c r="B145" s="81"/>
      <c r="C145" s="81"/>
      <c r="D145" s="81"/>
    </row>
    <row r="146" spans="1:4" x14ac:dyDescent="0.2">
      <c r="A146" s="81"/>
      <c r="B146" s="81"/>
      <c r="C146" s="81"/>
      <c r="D146" s="81"/>
    </row>
    <row r="147" spans="1:4" x14ac:dyDescent="0.2">
      <c r="A147" s="81"/>
      <c r="B147" s="81"/>
      <c r="C147" s="81"/>
      <c r="D147" s="81"/>
    </row>
    <row r="148" spans="1:4" x14ac:dyDescent="0.2">
      <c r="A148" s="81"/>
      <c r="B148" s="81"/>
      <c r="C148" s="81"/>
      <c r="D148" s="81"/>
    </row>
    <row r="149" spans="1:4" x14ac:dyDescent="0.2">
      <c r="A149" s="81"/>
      <c r="B149" s="81"/>
      <c r="C149" s="81"/>
      <c r="D149" s="81"/>
    </row>
    <row r="150" spans="1:4" x14ac:dyDescent="0.2">
      <c r="A150" s="81"/>
      <c r="B150" s="81"/>
      <c r="C150" s="81"/>
      <c r="D150" s="81"/>
    </row>
    <row r="151" spans="1:4" x14ac:dyDescent="0.2">
      <c r="A151" s="81"/>
      <c r="B151" s="81"/>
      <c r="C151" s="81"/>
      <c r="D151" s="81"/>
    </row>
    <row r="152" spans="1:4" x14ac:dyDescent="0.2">
      <c r="A152" s="81"/>
      <c r="B152" s="81"/>
      <c r="C152" s="81"/>
      <c r="D152" s="81"/>
    </row>
    <row r="153" spans="1:4" x14ac:dyDescent="0.2">
      <c r="A153" s="81"/>
      <c r="B153" s="81"/>
      <c r="C153" s="81"/>
      <c r="D153" s="81"/>
    </row>
    <row r="154" spans="1:4" x14ac:dyDescent="0.2">
      <c r="A154" s="81"/>
      <c r="B154" s="81"/>
      <c r="C154" s="81"/>
      <c r="D154" s="81"/>
    </row>
    <row r="155" spans="1:4" x14ac:dyDescent="0.2">
      <c r="A155" s="81"/>
      <c r="B155" s="81"/>
      <c r="C155" s="81"/>
      <c r="D155" s="81"/>
    </row>
    <row r="156" spans="1:4" x14ac:dyDescent="0.2">
      <c r="A156" s="81"/>
      <c r="B156" s="81"/>
      <c r="C156" s="81"/>
      <c r="D156" s="81"/>
    </row>
    <row r="157" spans="1:4" x14ac:dyDescent="0.2">
      <c r="A157" s="81"/>
      <c r="B157" s="81"/>
      <c r="C157" s="81"/>
      <c r="D157" s="81"/>
    </row>
    <row r="158" spans="1:4" x14ac:dyDescent="0.2">
      <c r="A158" s="81"/>
      <c r="B158" s="81"/>
      <c r="C158" s="81"/>
      <c r="D158" s="81"/>
    </row>
    <row r="159" spans="1:4" x14ac:dyDescent="0.2">
      <c r="A159" s="81"/>
      <c r="B159" s="81"/>
      <c r="C159" s="81"/>
      <c r="D159" s="81"/>
    </row>
    <row r="160" spans="1:4" x14ac:dyDescent="0.2">
      <c r="A160" s="81"/>
      <c r="B160" s="81"/>
      <c r="C160" s="81"/>
      <c r="D160" s="81"/>
    </row>
    <row r="161" spans="1:4" x14ac:dyDescent="0.2">
      <c r="A161" s="81"/>
      <c r="B161" s="81"/>
      <c r="C161" s="81"/>
      <c r="D161" s="81"/>
    </row>
    <row r="162" spans="1:4" x14ac:dyDescent="0.2">
      <c r="A162" s="81"/>
      <c r="B162" s="81"/>
      <c r="C162" s="81"/>
      <c r="D162" s="81"/>
    </row>
    <row r="163" spans="1:4" x14ac:dyDescent="0.2">
      <c r="A163" s="81"/>
      <c r="B163" s="81"/>
      <c r="C163" s="81"/>
      <c r="D163" s="81"/>
    </row>
    <row r="164" spans="1:4" x14ac:dyDescent="0.2">
      <c r="A164" s="81"/>
      <c r="B164" s="81"/>
      <c r="C164" s="81"/>
      <c r="D164" s="81"/>
    </row>
    <row r="165" spans="1:4" x14ac:dyDescent="0.2">
      <c r="A165" s="81"/>
      <c r="B165" s="81"/>
      <c r="C165" s="81"/>
      <c r="D165" s="81"/>
    </row>
    <row r="166" spans="1:4" x14ac:dyDescent="0.2">
      <c r="A166" s="81"/>
      <c r="B166" s="81"/>
      <c r="C166" s="81"/>
      <c r="D166" s="81"/>
    </row>
    <row r="167" spans="1:4" x14ac:dyDescent="0.2">
      <c r="A167" s="81"/>
      <c r="B167" s="81"/>
      <c r="C167" s="81"/>
      <c r="D167" s="81"/>
    </row>
    <row r="168" spans="1:4" x14ac:dyDescent="0.2">
      <c r="A168" s="81"/>
      <c r="B168" s="81"/>
      <c r="C168" s="81"/>
      <c r="D168" s="81"/>
    </row>
    <row r="169" spans="1:4" x14ac:dyDescent="0.2">
      <c r="A169" s="81"/>
      <c r="B169" s="81"/>
      <c r="C169" s="81"/>
      <c r="D169" s="81"/>
    </row>
    <row r="170" spans="1:4" x14ac:dyDescent="0.2">
      <c r="A170" s="81"/>
      <c r="B170" s="81"/>
      <c r="C170" s="81"/>
      <c r="D170" s="81"/>
    </row>
    <row r="171" spans="1:4" x14ac:dyDescent="0.2">
      <c r="A171" s="81"/>
      <c r="B171" s="81"/>
      <c r="C171" s="81"/>
      <c r="D171" s="81"/>
    </row>
    <row r="172" spans="1:4" x14ac:dyDescent="0.2">
      <c r="A172" s="81"/>
      <c r="B172" s="81"/>
      <c r="C172" s="81"/>
      <c r="D172" s="81"/>
    </row>
    <row r="173" spans="1:4" x14ac:dyDescent="0.2">
      <c r="A173" s="81"/>
      <c r="B173" s="81"/>
      <c r="C173" s="81"/>
      <c r="D173" s="81"/>
    </row>
    <row r="174" spans="1:4" x14ac:dyDescent="0.2">
      <c r="A174" s="81"/>
      <c r="B174" s="81"/>
      <c r="C174" s="81"/>
      <c r="D174" s="81"/>
    </row>
    <row r="175" spans="1:4" x14ac:dyDescent="0.2">
      <c r="A175" s="81"/>
      <c r="B175" s="81"/>
      <c r="C175" s="81"/>
      <c r="D175" s="81"/>
    </row>
    <row r="176" spans="1:4" x14ac:dyDescent="0.2">
      <c r="A176" s="81"/>
      <c r="B176" s="81"/>
      <c r="C176" s="81"/>
      <c r="D176" s="81"/>
    </row>
    <row r="177" spans="1:4" x14ac:dyDescent="0.2">
      <c r="A177" s="81"/>
      <c r="B177" s="81"/>
      <c r="C177" s="81"/>
      <c r="D177" s="81"/>
    </row>
    <row r="178" spans="1:4" x14ac:dyDescent="0.2">
      <c r="A178" s="81"/>
      <c r="B178" s="81"/>
      <c r="C178" s="81"/>
      <c r="D178" s="81"/>
    </row>
    <row r="179" spans="1:4" x14ac:dyDescent="0.2">
      <c r="A179" s="81"/>
      <c r="B179" s="81"/>
      <c r="C179" s="81"/>
      <c r="D179" s="81"/>
    </row>
    <row r="180" spans="1:4" x14ac:dyDescent="0.2">
      <c r="A180" s="81"/>
      <c r="B180" s="81"/>
      <c r="C180" s="81"/>
      <c r="D180" s="81"/>
    </row>
    <row r="181" spans="1:4" x14ac:dyDescent="0.2">
      <c r="A181" s="81"/>
      <c r="B181" s="81"/>
      <c r="C181" s="81"/>
      <c r="D181" s="81"/>
    </row>
    <row r="182" spans="1:4" x14ac:dyDescent="0.2">
      <c r="A182" s="81"/>
      <c r="B182" s="81"/>
      <c r="C182" s="81"/>
      <c r="D182" s="81"/>
    </row>
    <row r="183" spans="1:4" x14ac:dyDescent="0.2">
      <c r="A183" s="81"/>
      <c r="B183" s="81"/>
      <c r="C183" s="81"/>
      <c r="D183" s="81"/>
    </row>
    <row r="184" spans="1:4" x14ac:dyDescent="0.2">
      <c r="A184" s="81"/>
      <c r="B184" s="81"/>
      <c r="C184" s="81"/>
      <c r="D184" s="81"/>
    </row>
    <row r="185" spans="1:4" x14ac:dyDescent="0.2">
      <c r="A185" s="81"/>
      <c r="B185" s="81"/>
      <c r="C185" s="81"/>
      <c r="D185" s="81"/>
    </row>
    <row r="186" spans="1:4" x14ac:dyDescent="0.2">
      <c r="A186" s="81"/>
      <c r="B186" s="81"/>
      <c r="C186" s="81"/>
      <c r="D186" s="81"/>
    </row>
    <row r="187" spans="1:4" x14ac:dyDescent="0.2">
      <c r="A187" s="81"/>
      <c r="B187" s="81"/>
      <c r="C187" s="81"/>
      <c r="D187" s="81"/>
    </row>
    <row r="188" spans="1:4" x14ac:dyDescent="0.2">
      <c r="A188" s="81"/>
      <c r="B188" s="81"/>
      <c r="C188" s="81"/>
      <c r="D188" s="81"/>
    </row>
    <row r="189" spans="1:4" x14ac:dyDescent="0.2">
      <c r="A189" s="81"/>
      <c r="B189" s="81"/>
      <c r="C189" s="81"/>
      <c r="D189" s="81"/>
    </row>
    <row r="190" spans="1:4" x14ac:dyDescent="0.2">
      <c r="A190" s="81"/>
      <c r="B190" s="81"/>
      <c r="C190" s="81"/>
      <c r="D190" s="81"/>
    </row>
    <row r="191" spans="1:4" x14ac:dyDescent="0.2">
      <c r="A191" s="81"/>
      <c r="B191" s="81"/>
      <c r="C191" s="81"/>
      <c r="D191" s="81"/>
    </row>
    <row r="192" spans="1:4" x14ac:dyDescent="0.2">
      <c r="A192" s="81"/>
      <c r="B192" s="81"/>
      <c r="C192" s="81"/>
      <c r="D192" s="81"/>
    </row>
    <row r="193" spans="1:4" x14ac:dyDescent="0.2">
      <c r="A193" s="81"/>
      <c r="B193" s="81"/>
      <c r="C193" s="81"/>
      <c r="D193" s="81"/>
    </row>
    <row r="194" spans="1:4" x14ac:dyDescent="0.2">
      <c r="A194" s="81"/>
      <c r="B194" s="81"/>
      <c r="C194" s="81"/>
      <c r="D194" s="81"/>
    </row>
    <row r="195" spans="1:4" x14ac:dyDescent="0.2">
      <c r="A195" s="81"/>
      <c r="B195" s="81"/>
      <c r="C195" s="81"/>
      <c r="D195" s="81"/>
    </row>
    <row r="196" spans="1:4" x14ac:dyDescent="0.2">
      <c r="A196" s="81"/>
      <c r="B196" s="81"/>
      <c r="C196" s="81"/>
      <c r="D196" s="81"/>
    </row>
    <row r="197" spans="1:4" x14ac:dyDescent="0.2">
      <c r="A197" s="81"/>
      <c r="B197" s="81"/>
      <c r="C197" s="81"/>
      <c r="D197" s="81"/>
    </row>
    <row r="198" spans="1:4" x14ac:dyDescent="0.2">
      <c r="A198" s="81"/>
      <c r="B198" s="81"/>
      <c r="C198" s="81"/>
      <c r="D198" s="81"/>
    </row>
    <row r="199" spans="1:4" x14ac:dyDescent="0.2">
      <c r="A199" s="81"/>
      <c r="B199" s="81"/>
      <c r="C199" s="81"/>
      <c r="D199" s="81"/>
    </row>
    <row r="200" spans="1:4" x14ac:dyDescent="0.2">
      <c r="A200" s="81"/>
      <c r="B200" s="81"/>
      <c r="C200" s="81"/>
      <c r="D200" s="81"/>
    </row>
    <row r="201" spans="1:4" x14ac:dyDescent="0.2">
      <c r="A201" s="81"/>
      <c r="B201" s="81"/>
      <c r="C201" s="81"/>
      <c r="D201" s="81"/>
    </row>
    <row r="202" spans="1:4" x14ac:dyDescent="0.2">
      <c r="A202" s="81"/>
      <c r="B202" s="81"/>
      <c r="C202" s="81"/>
      <c r="D202" s="81"/>
    </row>
    <row r="203" spans="1:4" x14ac:dyDescent="0.2">
      <c r="A203" s="81"/>
      <c r="B203" s="81"/>
      <c r="C203" s="81"/>
      <c r="D203" s="81"/>
    </row>
    <row r="204" spans="1:4" x14ac:dyDescent="0.2">
      <c r="A204" s="81"/>
      <c r="B204" s="81"/>
      <c r="C204" s="81"/>
      <c r="D204" s="81"/>
    </row>
    <row r="205" spans="1:4" x14ac:dyDescent="0.2">
      <c r="A205" s="81"/>
      <c r="B205" s="81"/>
      <c r="C205" s="81"/>
      <c r="D205" s="81"/>
    </row>
    <row r="206" spans="1:4" x14ac:dyDescent="0.2">
      <c r="A206" s="81"/>
      <c r="B206" s="81"/>
      <c r="C206" s="81"/>
      <c r="D206" s="81"/>
    </row>
    <row r="207" spans="1:4" x14ac:dyDescent="0.2">
      <c r="A207" s="81"/>
      <c r="B207" s="81"/>
      <c r="C207" s="81"/>
      <c r="D207" s="81"/>
    </row>
    <row r="208" spans="1:4" x14ac:dyDescent="0.2">
      <c r="A208" s="81"/>
      <c r="B208" s="81"/>
      <c r="C208" s="81"/>
      <c r="D208" s="81"/>
    </row>
    <row r="209" spans="1:4" x14ac:dyDescent="0.2">
      <c r="A209" s="81"/>
      <c r="B209" s="81"/>
      <c r="C209" s="81"/>
      <c r="D209" s="81"/>
    </row>
    <row r="210" spans="1:4" x14ac:dyDescent="0.2">
      <c r="A210" s="81"/>
      <c r="B210" s="81"/>
      <c r="C210" s="81"/>
      <c r="D210" s="81"/>
    </row>
    <row r="211" spans="1:4" x14ac:dyDescent="0.2">
      <c r="A211" s="81"/>
      <c r="B211" s="81"/>
      <c r="C211" s="81"/>
      <c r="D211" s="81"/>
    </row>
    <row r="212" spans="1:4" x14ac:dyDescent="0.2">
      <c r="A212" s="81"/>
      <c r="B212" s="81"/>
      <c r="C212" s="81"/>
      <c r="D212" s="81"/>
    </row>
    <row r="213" spans="1:4" x14ac:dyDescent="0.2">
      <c r="A213" s="81"/>
      <c r="B213" s="81"/>
      <c r="C213" s="81"/>
      <c r="D213" s="81"/>
    </row>
    <row r="214" spans="1:4" x14ac:dyDescent="0.2">
      <c r="A214" s="81"/>
      <c r="B214" s="81"/>
      <c r="C214" s="81"/>
      <c r="D214" s="81"/>
    </row>
    <row r="215" spans="1:4" x14ac:dyDescent="0.2">
      <c r="A215" s="81"/>
      <c r="B215" s="81"/>
      <c r="C215" s="81"/>
      <c r="D215" s="81"/>
    </row>
    <row r="216" spans="1:4" x14ac:dyDescent="0.2">
      <c r="A216" s="81"/>
      <c r="B216" s="81"/>
      <c r="C216" s="81"/>
      <c r="D216" s="81"/>
    </row>
    <row r="217" spans="1:4" x14ac:dyDescent="0.2">
      <c r="A217" s="81"/>
      <c r="B217" s="81"/>
      <c r="C217" s="81"/>
      <c r="D217" s="81"/>
    </row>
    <row r="218" spans="1:4" x14ac:dyDescent="0.2">
      <c r="A218" s="81"/>
      <c r="B218" s="81"/>
      <c r="C218" s="81"/>
      <c r="D218" s="81"/>
    </row>
    <row r="219" spans="1:4" x14ac:dyDescent="0.2">
      <c r="A219" s="81"/>
      <c r="B219" s="81"/>
      <c r="C219" s="81"/>
      <c r="D219" s="81"/>
    </row>
    <row r="220" spans="1:4" x14ac:dyDescent="0.2">
      <c r="A220" s="81"/>
      <c r="B220" s="81"/>
      <c r="C220" s="81"/>
      <c r="D220" s="81"/>
    </row>
    <row r="221" spans="1:4" x14ac:dyDescent="0.2">
      <c r="A221" s="81"/>
      <c r="B221" s="81"/>
      <c r="C221" s="81"/>
      <c r="D221" s="81"/>
    </row>
    <row r="222" spans="1:4" x14ac:dyDescent="0.2">
      <c r="A222" s="81"/>
      <c r="B222" s="81"/>
      <c r="C222" s="81"/>
      <c r="D222" s="81"/>
    </row>
    <row r="223" spans="1:4" x14ac:dyDescent="0.2">
      <c r="A223" s="81"/>
      <c r="B223" s="81"/>
      <c r="C223" s="81"/>
      <c r="D223" s="81"/>
    </row>
    <row r="224" spans="1:4" x14ac:dyDescent="0.2">
      <c r="A224" s="81"/>
      <c r="B224" s="81"/>
      <c r="C224" s="81"/>
      <c r="D224" s="81"/>
    </row>
    <row r="225" spans="1:4" x14ac:dyDescent="0.2">
      <c r="A225" s="81"/>
      <c r="B225" s="81"/>
      <c r="C225" s="81"/>
      <c r="D225" s="81"/>
    </row>
    <row r="226" spans="1:4" x14ac:dyDescent="0.2">
      <c r="A226" s="81"/>
      <c r="B226" s="81"/>
      <c r="C226" s="81"/>
      <c r="D226" s="81"/>
    </row>
    <row r="227" spans="1:4" x14ac:dyDescent="0.2">
      <c r="A227" s="81"/>
      <c r="B227" s="81"/>
      <c r="C227" s="81"/>
      <c r="D227" s="81"/>
    </row>
    <row r="228" spans="1:4" x14ac:dyDescent="0.2">
      <c r="A228" s="81"/>
      <c r="B228" s="81"/>
      <c r="C228" s="81"/>
      <c r="D228" s="81"/>
    </row>
    <row r="229" spans="1:4" x14ac:dyDescent="0.2">
      <c r="A229" s="81"/>
      <c r="B229" s="81"/>
      <c r="C229" s="81"/>
      <c r="D229" s="81"/>
    </row>
    <row r="230" spans="1:4" x14ac:dyDescent="0.2">
      <c r="A230" s="81"/>
      <c r="B230" s="81"/>
      <c r="C230" s="81"/>
      <c r="D230" s="81"/>
    </row>
    <row r="231" spans="1:4" x14ac:dyDescent="0.2">
      <c r="A231" s="81"/>
      <c r="B231" s="81"/>
      <c r="C231" s="81"/>
      <c r="D231" s="81"/>
    </row>
    <row r="232" spans="1:4" x14ac:dyDescent="0.2">
      <c r="A232" s="81"/>
      <c r="B232" s="81"/>
      <c r="C232" s="81"/>
      <c r="D232" s="81"/>
    </row>
    <row r="233" spans="1:4" x14ac:dyDescent="0.2">
      <c r="A233" s="81"/>
      <c r="B233" s="81"/>
      <c r="C233" s="81"/>
      <c r="D233" s="81"/>
    </row>
    <row r="234" spans="1:4" x14ac:dyDescent="0.2">
      <c r="A234" s="81"/>
      <c r="B234" s="81"/>
      <c r="C234" s="81"/>
      <c r="D234" s="81"/>
    </row>
    <row r="235" spans="1:4" x14ac:dyDescent="0.2">
      <c r="A235" s="81"/>
      <c r="B235" s="81"/>
      <c r="C235" s="81"/>
      <c r="D235" s="81"/>
    </row>
    <row r="236" spans="1:4" x14ac:dyDescent="0.2">
      <c r="A236" s="81"/>
      <c r="B236" s="81"/>
      <c r="C236" s="81"/>
      <c r="D236" s="81"/>
    </row>
    <row r="237" spans="1:4" x14ac:dyDescent="0.2">
      <c r="A237" s="81"/>
      <c r="B237" s="81"/>
      <c r="C237" s="81"/>
      <c r="D237" s="81"/>
    </row>
    <row r="238" spans="1:4" x14ac:dyDescent="0.2">
      <c r="A238" s="81"/>
      <c r="B238" s="81"/>
      <c r="C238" s="81"/>
      <c r="D238" s="81"/>
    </row>
    <row r="239" spans="1:4" x14ac:dyDescent="0.2">
      <c r="A239" s="81"/>
      <c r="B239" s="81"/>
      <c r="C239" s="81"/>
      <c r="D239" s="81"/>
    </row>
    <row r="240" spans="1:4" x14ac:dyDescent="0.2">
      <c r="A240" s="81"/>
      <c r="B240" s="81"/>
      <c r="C240" s="81"/>
      <c r="D240" s="81"/>
    </row>
    <row r="241" spans="1:4" x14ac:dyDescent="0.2">
      <c r="A241" s="81"/>
      <c r="B241" s="81"/>
      <c r="C241" s="81"/>
      <c r="D241" s="81"/>
    </row>
    <row r="242" spans="1:4" x14ac:dyDescent="0.2">
      <c r="A242" s="81"/>
      <c r="B242" s="81"/>
      <c r="C242" s="81"/>
      <c r="D242" s="81"/>
    </row>
    <row r="243" spans="1:4" x14ac:dyDescent="0.2">
      <c r="A243" s="81"/>
      <c r="B243" s="81"/>
      <c r="C243" s="81"/>
      <c r="D243" s="81"/>
    </row>
    <row r="244" spans="1:4" x14ac:dyDescent="0.2">
      <c r="A244" s="81"/>
      <c r="B244" s="81"/>
      <c r="C244" s="81"/>
      <c r="D244" s="81"/>
    </row>
    <row r="245" spans="1:4" x14ac:dyDescent="0.2">
      <c r="A245" s="81"/>
      <c r="B245" s="81"/>
      <c r="C245" s="81"/>
      <c r="D245" s="81"/>
    </row>
    <row r="246" spans="1:4" x14ac:dyDescent="0.2">
      <c r="A246" s="81"/>
      <c r="B246" s="81"/>
      <c r="C246" s="81"/>
      <c r="D246" s="81"/>
    </row>
    <row r="247" spans="1:4" x14ac:dyDescent="0.2">
      <c r="A247" s="81"/>
      <c r="B247" s="81"/>
      <c r="C247" s="81"/>
      <c r="D247" s="81"/>
    </row>
    <row r="248" spans="1:4" x14ac:dyDescent="0.2">
      <c r="A248" s="81"/>
      <c r="B248" s="81"/>
      <c r="C248" s="81"/>
      <c r="D248" s="81"/>
    </row>
    <row r="249" spans="1:4" x14ac:dyDescent="0.2">
      <c r="A249" s="81"/>
      <c r="B249" s="81"/>
      <c r="C249" s="81"/>
      <c r="D249" s="81"/>
    </row>
    <row r="250" spans="1:4" x14ac:dyDescent="0.2">
      <c r="A250" s="81"/>
      <c r="B250" s="81"/>
      <c r="C250" s="81"/>
      <c r="D250" s="81"/>
    </row>
    <row r="251" spans="1:4" x14ac:dyDescent="0.2">
      <c r="A251" s="81"/>
      <c r="B251" s="81"/>
      <c r="C251" s="81"/>
      <c r="D251" s="81"/>
    </row>
    <row r="252" spans="1:4" x14ac:dyDescent="0.2">
      <c r="A252" s="81"/>
      <c r="B252" s="81"/>
      <c r="C252" s="81"/>
      <c r="D252" s="81"/>
    </row>
    <row r="253" spans="1:4" x14ac:dyDescent="0.2">
      <c r="A253" s="81"/>
      <c r="B253" s="81"/>
      <c r="C253" s="81"/>
      <c r="D253" s="81"/>
    </row>
    <row r="254" spans="1:4" x14ac:dyDescent="0.2">
      <c r="A254" s="81"/>
      <c r="B254" s="81"/>
      <c r="C254" s="81"/>
      <c r="D254" s="81"/>
    </row>
    <row r="255" spans="1:4" x14ac:dyDescent="0.2">
      <c r="A255" s="81"/>
      <c r="B255" s="81"/>
      <c r="C255" s="81"/>
      <c r="D255" s="81"/>
    </row>
    <row r="256" spans="1:4" x14ac:dyDescent="0.2">
      <c r="A256" s="81"/>
      <c r="B256" s="81"/>
      <c r="C256" s="81"/>
      <c r="D256" s="81"/>
    </row>
    <row r="257" spans="1:4" x14ac:dyDescent="0.2">
      <c r="A257" s="81"/>
      <c r="B257" s="81"/>
      <c r="C257" s="81"/>
      <c r="D257" s="81"/>
    </row>
    <row r="258" spans="1:4" x14ac:dyDescent="0.2">
      <c r="A258" s="81"/>
      <c r="B258" s="81"/>
      <c r="C258" s="81"/>
      <c r="D258" s="81"/>
    </row>
    <row r="259" spans="1:4" x14ac:dyDescent="0.2">
      <c r="A259" s="81"/>
      <c r="B259" s="81"/>
      <c r="C259" s="81"/>
      <c r="D259" s="81"/>
    </row>
    <row r="260" spans="1:4" x14ac:dyDescent="0.2">
      <c r="A260" s="81"/>
      <c r="B260" s="81"/>
      <c r="C260" s="81"/>
      <c r="D260" s="81"/>
    </row>
    <row r="261" spans="1:4" x14ac:dyDescent="0.2">
      <c r="A261" s="81"/>
      <c r="B261" s="81"/>
      <c r="C261" s="81"/>
      <c r="D261" s="81"/>
    </row>
    <row r="262" spans="1:4" x14ac:dyDescent="0.2">
      <c r="A262" s="81"/>
      <c r="B262" s="81"/>
      <c r="C262" s="81"/>
      <c r="D262" s="81"/>
    </row>
    <row r="263" spans="1:4" x14ac:dyDescent="0.2">
      <c r="A263" s="81"/>
      <c r="B263" s="81"/>
      <c r="C263" s="81"/>
      <c r="D263" s="81"/>
    </row>
    <row r="264" spans="1:4" x14ac:dyDescent="0.2">
      <c r="A264" s="81"/>
      <c r="B264" s="81"/>
      <c r="C264" s="81"/>
      <c r="D264" s="81"/>
    </row>
    <row r="265" spans="1:4" x14ac:dyDescent="0.2">
      <c r="A265" s="81"/>
      <c r="B265" s="81"/>
      <c r="C265" s="81"/>
      <c r="D265" s="81"/>
    </row>
    <row r="266" spans="1:4" x14ac:dyDescent="0.2">
      <c r="A266" s="81"/>
      <c r="B266" s="81"/>
      <c r="C266" s="81"/>
      <c r="D266" s="81"/>
    </row>
    <row r="267" spans="1:4" x14ac:dyDescent="0.2">
      <c r="A267" s="81"/>
      <c r="B267" s="81"/>
      <c r="C267" s="81"/>
      <c r="D267" s="81"/>
    </row>
    <row r="268" spans="1:4" x14ac:dyDescent="0.2">
      <c r="A268" s="81"/>
      <c r="B268" s="81"/>
      <c r="C268" s="81"/>
      <c r="D268" s="81"/>
    </row>
    <row r="269" spans="1:4" x14ac:dyDescent="0.2">
      <c r="A269" s="81"/>
      <c r="B269" s="81"/>
      <c r="C269" s="81"/>
      <c r="D269" s="81"/>
    </row>
    <row r="270" spans="1:4" x14ac:dyDescent="0.2">
      <c r="A270" s="81"/>
      <c r="B270" s="81"/>
      <c r="C270" s="81"/>
      <c r="D270" s="81"/>
    </row>
    <row r="271" spans="1:4" x14ac:dyDescent="0.2">
      <c r="A271" s="81"/>
      <c r="B271" s="81"/>
      <c r="C271" s="81"/>
      <c r="D271" s="81"/>
    </row>
    <row r="272" spans="1:4" x14ac:dyDescent="0.2">
      <c r="A272" s="81"/>
      <c r="B272" s="81"/>
      <c r="C272" s="81"/>
      <c r="D272" s="81"/>
    </row>
    <row r="273" spans="1:4" x14ac:dyDescent="0.2">
      <c r="A273" s="81"/>
      <c r="B273" s="81"/>
      <c r="C273" s="81"/>
      <c r="D273" s="81"/>
    </row>
    <row r="274" spans="1:4" x14ac:dyDescent="0.2">
      <c r="A274" s="81"/>
      <c r="B274" s="81"/>
      <c r="C274" s="81"/>
      <c r="D274" s="81"/>
    </row>
    <row r="275" spans="1:4" x14ac:dyDescent="0.2">
      <c r="A275" s="81"/>
      <c r="B275" s="81"/>
      <c r="C275" s="81"/>
      <c r="D275" s="81"/>
    </row>
    <row r="276" spans="1:4" x14ac:dyDescent="0.2">
      <c r="A276" s="81"/>
      <c r="B276" s="81"/>
      <c r="C276" s="81"/>
      <c r="D276" s="81"/>
    </row>
    <row r="277" spans="1:4" x14ac:dyDescent="0.2">
      <c r="A277" s="81"/>
      <c r="B277" s="81"/>
      <c r="C277" s="81"/>
      <c r="D277" s="81"/>
    </row>
    <row r="278" spans="1:4" x14ac:dyDescent="0.2">
      <c r="A278" s="81"/>
      <c r="B278" s="81"/>
      <c r="C278" s="81"/>
      <c r="D278" s="81"/>
    </row>
    <row r="279" spans="1:4" x14ac:dyDescent="0.2">
      <c r="A279" s="81"/>
      <c r="B279" s="81"/>
      <c r="C279" s="81"/>
      <c r="D279" s="81"/>
    </row>
    <row r="280" spans="1:4" x14ac:dyDescent="0.2">
      <c r="A280" s="81"/>
      <c r="B280" s="81"/>
      <c r="C280" s="81"/>
      <c r="D280" s="81"/>
    </row>
    <row r="281" spans="1:4" x14ac:dyDescent="0.2">
      <c r="A281" s="81"/>
      <c r="B281" s="81"/>
      <c r="C281" s="81"/>
      <c r="D281" s="81"/>
    </row>
    <row r="282" spans="1:4" x14ac:dyDescent="0.2">
      <c r="A282" s="81"/>
      <c r="B282" s="81"/>
      <c r="C282" s="81"/>
      <c r="D282" s="81"/>
    </row>
    <row r="283" spans="1:4" x14ac:dyDescent="0.2">
      <c r="A283" s="81"/>
      <c r="B283" s="81"/>
      <c r="C283" s="81"/>
      <c r="D283" s="81"/>
    </row>
    <row r="284" spans="1:4" x14ac:dyDescent="0.2">
      <c r="A284" s="81"/>
      <c r="B284" s="81"/>
      <c r="C284" s="81"/>
      <c r="D284" s="81"/>
    </row>
    <row r="285" spans="1:4" x14ac:dyDescent="0.2">
      <c r="A285" s="81"/>
      <c r="B285" s="81"/>
      <c r="C285" s="81"/>
      <c r="D285" s="81"/>
    </row>
    <row r="286" spans="1:4" x14ac:dyDescent="0.2">
      <c r="A286" s="81"/>
      <c r="B286" s="81"/>
      <c r="C286" s="81"/>
      <c r="D286" s="81"/>
    </row>
    <row r="287" spans="1:4" x14ac:dyDescent="0.2">
      <c r="A287" s="81"/>
      <c r="B287" s="81"/>
      <c r="C287" s="81"/>
      <c r="D287" s="81"/>
    </row>
    <row r="288" spans="1:4" x14ac:dyDescent="0.2">
      <c r="A288" s="81"/>
      <c r="B288" s="81"/>
      <c r="C288" s="81"/>
      <c r="D288" s="81"/>
    </row>
    <row r="289" spans="1:4" x14ac:dyDescent="0.2">
      <c r="A289" s="81"/>
      <c r="B289" s="81"/>
      <c r="C289" s="81"/>
      <c r="D289" s="81"/>
    </row>
    <row r="290" spans="1:4" x14ac:dyDescent="0.2">
      <c r="A290" s="81"/>
      <c r="B290" s="81"/>
      <c r="C290" s="81"/>
      <c r="D290" s="81"/>
    </row>
    <row r="291" spans="1:4" x14ac:dyDescent="0.2">
      <c r="A291" s="81"/>
      <c r="B291" s="81"/>
      <c r="C291" s="81"/>
      <c r="D291" s="81"/>
    </row>
    <row r="292" spans="1:4" x14ac:dyDescent="0.2">
      <c r="A292" s="81"/>
      <c r="B292" s="81"/>
      <c r="C292" s="81"/>
      <c r="D292" s="81"/>
    </row>
    <row r="293" spans="1:4" x14ac:dyDescent="0.2">
      <c r="A293" s="81"/>
      <c r="B293" s="81"/>
      <c r="C293" s="81"/>
      <c r="D293" s="81"/>
    </row>
    <row r="294" spans="1:4" x14ac:dyDescent="0.2">
      <c r="A294" s="81"/>
      <c r="B294" s="81"/>
      <c r="C294" s="81"/>
      <c r="D294" s="81"/>
    </row>
    <row r="295" spans="1:4" x14ac:dyDescent="0.2">
      <c r="A295" s="81"/>
      <c r="B295" s="81"/>
      <c r="C295" s="81"/>
      <c r="D295" s="81"/>
    </row>
    <row r="296" spans="1:4" x14ac:dyDescent="0.2">
      <c r="A296" s="81"/>
      <c r="B296" s="81"/>
      <c r="C296" s="81"/>
      <c r="D296" s="81"/>
    </row>
    <row r="297" spans="1:4" x14ac:dyDescent="0.2">
      <c r="A297" s="81"/>
      <c r="B297" s="81"/>
      <c r="C297" s="81"/>
      <c r="D297" s="81"/>
    </row>
    <row r="298" spans="1:4" x14ac:dyDescent="0.2">
      <c r="A298" s="81"/>
      <c r="B298" s="81"/>
      <c r="C298" s="81"/>
      <c r="D298" s="81"/>
    </row>
    <row r="299" spans="1:4" x14ac:dyDescent="0.2">
      <c r="A299" s="81"/>
      <c r="B299" s="81"/>
      <c r="C299" s="81"/>
      <c r="D299" s="81"/>
    </row>
    <row r="300" spans="1:4" x14ac:dyDescent="0.2">
      <c r="A300" s="81"/>
      <c r="B300" s="81"/>
      <c r="C300" s="81"/>
      <c r="D300" s="81"/>
    </row>
    <row r="301" spans="1:4" x14ac:dyDescent="0.2">
      <c r="A301" s="81"/>
      <c r="B301" s="81"/>
      <c r="C301" s="81"/>
      <c r="D301" s="81"/>
    </row>
    <row r="302" spans="1:4" x14ac:dyDescent="0.2">
      <c r="A302" s="81"/>
      <c r="B302" s="81"/>
      <c r="C302" s="81"/>
      <c r="D302" s="81"/>
    </row>
    <row r="303" spans="1:4" x14ac:dyDescent="0.2">
      <c r="A303" s="81"/>
      <c r="B303" s="81"/>
      <c r="C303" s="81"/>
      <c r="D303" s="81"/>
    </row>
    <row r="304" spans="1:4" x14ac:dyDescent="0.2">
      <c r="A304" s="81"/>
      <c r="B304" s="81"/>
      <c r="C304" s="81"/>
      <c r="D304" s="81"/>
    </row>
    <row r="305" spans="1:4" x14ac:dyDescent="0.2">
      <c r="A305" s="81"/>
      <c r="B305" s="81"/>
      <c r="C305" s="81"/>
      <c r="D305" s="81"/>
    </row>
    <row r="306" spans="1:4" x14ac:dyDescent="0.2">
      <c r="A306" s="81"/>
      <c r="B306" s="81"/>
      <c r="C306" s="81"/>
      <c r="D306" s="81"/>
    </row>
    <row r="307" spans="1:4" x14ac:dyDescent="0.2">
      <c r="A307" s="81"/>
      <c r="B307" s="81"/>
      <c r="C307" s="81"/>
      <c r="D307" s="81"/>
    </row>
    <row r="308" spans="1:4" x14ac:dyDescent="0.2">
      <c r="A308" s="81"/>
      <c r="B308" s="81"/>
      <c r="C308" s="81"/>
      <c r="D308" s="81"/>
    </row>
    <row r="309" spans="1:4" x14ac:dyDescent="0.2">
      <c r="A309" s="81"/>
      <c r="B309" s="81"/>
      <c r="C309" s="81"/>
      <c r="D309" s="81"/>
    </row>
    <row r="310" spans="1:4" x14ac:dyDescent="0.2">
      <c r="A310" s="81"/>
      <c r="B310" s="81"/>
      <c r="C310" s="81"/>
      <c r="D310" s="81"/>
    </row>
    <row r="311" spans="1:4" x14ac:dyDescent="0.2">
      <c r="A311" s="81"/>
      <c r="B311" s="81"/>
      <c r="C311" s="81"/>
      <c r="D311" s="81"/>
    </row>
    <row r="312" spans="1:4" x14ac:dyDescent="0.2">
      <c r="A312" s="81"/>
      <c r="B312" s="81"/>
      <c r="C312" s="81"/>
      <c r="D312" s="81"/>
    </row>
    <row r="313" spans="1:4" x14ac:dyDescent="0.2">
      <c r="A313" s="81"/>
      <c r="B313" s="81"/>
      <c r="C313" s="81"/>
      <c r="D313" s="81"/>
    </row>
    <row r="314" spans="1:4" x14ac:dyDescent="0.2">
      <c r="A314" s="81"/>
      <c r="B314" s="81"/>
      <c r="C314" s="81"/>
      <c r="D314" s="81"/>
    </row>
    <row r="315" spans="1:4" x14ac:dyDescent="0.2">
      <c r="A315" s="81"/>
      <c r="B315" s="81"/>
      <c r="C315" s="81"/>
      <c r="D315" s="81"/>
    </row>
    <row r="316" spans="1:4" x14ac:dyDescent="0.2">
      <c r="A316" s="81"/>
      <c r="B316" s="81"/>
      <c r="C316" s="81"/>
      <c r="D316" s="81"/>
    </row>
    <row r="317" spans="1:4" x14ac:dyDescent="0.2">
      <c r="A317" s="81"/>
      <c r="B317" s="81"/>
      <c r="C317" s="81"/>
      <c r="D317" s="81"/>
    </row>
    <row r="318" spans="1:4" x14ac:dyDescent="0.2">
      <c r="A318" s="81"/>
      <c r="B318" s="81"/>
      <c r="C318" s="81"/>
      <c r="D318" s="81"/>
    </row>
    <row r="319" spans="1:4" x14ac:dyDescent="0.2">
      <c r="A319" s="81"/>
      <c r="B319" s="81"/>
      <c r="C319" s="81"/>
      <c r="D319" s="81"/>
    </row>
    <row r="320" spans="1:4" x14ac:dyDescent="0.2">
      <c r="A320" s="81"/>
      <c r="B320" s="81"/>
      <c r="C320" s="81"/>
      <c r="D320" s="81"/>
    </row>
    <row r="321" spans="1:4" x14ac:dyDescent="0.2">
      <c r="A321" s="81"/>
      <c r="B321" s="81"/>
      <c r="C321" s="81"/>
      <c r="D321" s="81"/>
    </row>
    <row r="322" spans="1:4" x14ac:dyDescent="0.2">
      <c r="A322" s="81"/>
      <c r="B322" s="81"/>
      <c r="C322" s="81"/>
      <c r="D322" s="81"/>
    </row>
    <row r="323" spans="1:4" x14ac:dyDescent="0.2">
      <c r="A323" s="81"/>
      <c r="B323" s="81"/>
      <c r="C323" s="81"/>
      <c r="D323" s="81"/>
    </row>
    <row r="324" spans="1:4" x14ac:dyDescent="0.2">
      <c r="A324" s="81"/>
      <c r="B324" s="81"/>
      <c r="C324" s="81"/>
      <c r="D324" s="81"/>
    </row>
    <row r="325" spans="1:4" x14ac:dyDescent="0.2">
      <c r="A325" s="81"/>
      <c r="B325" s="81"/>
      <c r="C325" s="81"/>
      <c r="D325" s="81"/>
    </row>
    <row r="326" spans="1:4" x14ac:dyDescent="0.2">
      <c r="A326" s="81"/>
      <c r="B326" s="81"/>
      <c r="C326" s="81"/>
      <c r="D326" s="81"/>
    </row>
    <row r="327" spans="1:4" x14ac:dyDescent="0.2">
      <c r="A327" s="81"/>
      <c r="B327" s="81"/>
      <c r="C327" s="81"/>
      <c r="D327" s="81"/>
    </row>
    <row r="328" spans="1:4" x14ac:dyDescent="0.2">
      <c r="A328" s="81"/>
      <c r="B328" s="81"/>
      <c r="C328" s="81"/>
      <c r="D328" s="81"/>
    </row>
    <row r="329" spans="1:4" x14ac:dyDescent="0.2">
      <c r="A329" s="81"/>
      <c r="B329" s="81"/>
      <c r="C329" s="81"/>
      <c r="D329" s="81"/>
    </row>
    <row r="330" spans="1:4" x14ac:dyDescent="0.2">
      <c r="A330" s="81"/>
      <c r="B330" s="81"/>
      <c r="C330" s="81"/>
      <c r="D330" s="81"/>
    </row>
    <row r="331" spans="1:4" x14ac:dyDescent="0.2">
      <c r="A331" s="81"/>
      <c r="B331" s="81"/>
      <c r="C331" s="81"/>
      <c r="D331" s="81"/>
    </row>
    <row r="332" spans="1:4" x14ac:dyDescent="0.2">
      <c r="A332" s="81"/>
      <c r="B332" s="81"/>
      <c r="C332" s="81"/>
      <c r="D332" s="81"/>
    </row>
    <row r="333" spans="1:4" x14ac:dyDescent="0.2">
      <c r="A333" s="81"/>
      <c r="B333" s="81"/>
      <c r="C333" s="81"/>
      <c r="D333" s="81"/>
    </row>
    <row r="334" spans="1:4" x14ac:dyDescent="0.2">
      <c r="A334" s="81"/>
      <c r="B334" s="81"/>
      <c r="C334" s="81"/>
      <c r="D334" s="81"/>
    </row>
    <row r="335" spans="1:4" x14ac:dyDescent="0.2">
      <c r="A335" s="81"/>
      <c r="B335" s="81"/>
      <c r="C335" s="81"/>
      <c r="D335" s="81"/>
    </row>
    <row r="336" spans="1:4" x14ac:dyDescent="0.2">
      <c r="A336" s="81"/>
      <c r="B336" s="81"/>
      <c r="C336" s="81"/>
      <c r="D336" s="81"/>
    </row>
    <row r="337" spans="1:4" x14ac:dyDescent="0.2">
      <c r="A337" s="81"/>
      <c r="B337" s="81"/>
      <c r="C337" s="81"/>
      <c r="D337" s="81"/>
    </row>
    <row r="338" spans="1:4" x14ac:dyDescent="0.2">
      <c r="A338" s="81"/>
      <c r="B338" s="81"/>
      <c r="C338" s="81"/>
      <c r="D338" s="81"/>
    </row>
    <row r="339" spans="1:4" x14ac:dyDescent="0.2">
      <c r="A339" s="81"/>
      <c r="B339" s="81"/>
      <c r="C339" s="81"/>
      <c r="D339" s="81"/>
    </row>
    <row r="340" spans="1:4" x14ac:dyDescent="0.2">
      <c r="A340" s="81"/>
      <c r="B340" s="81"/>
      <c r="C340" s="81"/>
      <c r="D340" s="81"/>
    </row>
    <row r="341" spans="1:4" x14ac:dyDescent="0.2">
      <c r="A341" s="81"/>
      <c r="B341" s="81"/>
      <c r="C341" s="81"/>
      <c r="D341" s="81"/>
    </row>
    <row r="342" spans="1:4" x14ac:dyDescent="0.2">
      <c r="A342" s="81"/>
      <c r="B342" s="81"/>
      <c r="C342" s="81"/>
      <c r="D342" s="81"/>
    </row>
    <row r="343" spans="1:4" x14ac:dyDescent="0.2">
      <c r="A343" s="81"/>
      <c r="B343" s="81"/>
      <c r="C343" s="81"/>
      <c r="D343" s="81"/>
    </row>
    <row r="344" spans="1:4" x14ac:dyDescent="0.2">
      <c r="A344" s="81"/>
      <c r="B344" s="81"/>
      <c r="C344" s="81"/>
      <c r="D344" s="81"/>
    </row>
    <row r="345" spans="1:4" x14ac:dyDescent="0.2">
      <c r="A345" s="81"/>
      <c r="B345" s="81"/>
      <c r="C345" s="81"/>
      <c r="D345" s="81"/>
    </row>
    <row r="346" spans="1:4" x14ac:dyDescent="0.2">
      <c r="A346" s="81"/>
      <c r="B346" s="81"/>
      <c r="C346" s="81"/>
      <c r="D346" s="81"/>
    </row>
    <row r="347" spans="1:4" x14ac:dyDescent="0.2">
      <c r="A347" s="81"/>
      <c r="B347" s="81"/>
      <c r="C347" s="81"/>
      <c r="D347" s="81"/>
    </row>
    <row r="348" spans="1:4" x14ac:dyDescent="0.2">
      <c r="A348" s="81"/>
      <c r="B348" s="81"/>
      <c r="C348" s="81"/>
      <c r="D348" s="81"/>
    </row>
    <row r="349" spans="1:4" x14ac:dyDescent="0.2">
      <c r="A349" s="81"/>
      <c r="B349" s="81"/>
      <c r="C349" s="81"/>
      <c r="D349" s="81"/>
    </row>
    <row r="350" spans="1:4" x14ac:dyDescent="0.2">
      <c r="A350" s="81"/>
      <c r="B350" s="81"/>
      <c r="C350" s="81"/>
      <c r="D350" s="81"/>
    </row>
    <row r="351" spans="1:4" x14ac:dyDescent="0.2">
      <c r="A351" s="81"/>
      <c r="B351" s="81"/>
      <c r="C351" s="81"/>
      <c r="D351" s="81"/>
    </row>
    <row r="352" spans="1:4" x14ac:dyDescent="0.2">
      <c r="A352" s="81"/>
      <c r="B352" s="81"/>
      <c r="C352" s="81"/>
      <c r="D352" s="81"/>
    </row>
    <row r="353" spans="1:4" x14ac:dyDescent="0.2">
      <c r="A353" s="81"/>
      <c r="B353" s="81"/>
      <c r="C353" s="81"/>
      <c r="D353" s="81"/>
    </row>
    <row r="354" spans="1:4" x14ac:dyDescent="0.2">
      <c r="A354" s="81"/>
      <c r="B354" s="81"/>
      <c r="C354" s="81"/>
      <c r="D354" s="81"/>
    </row>
    <row r="355" spans="1:4" x14ac:dyDescent="0.2">
      <c r="A355" s="81"/>
      <c r="B355" s="81"/>
      <c r="C355" s="81"/>
      <c r="D355" s="81"/>
    </row>
    <row r="356" spans="1:4" x14ac:dyDescent="0.2">
      <c r="A356" s="81"/>
      <c r="B356" s="81"/>
      <c r="C356" s="81"/>
      <c r="D356" s="81"/>
    </row>
    <row r="357" spans="1:4" x14ac:dyDescent="0.2">
      <c r="A357" s="81"/>
      <c r="B357" s="81"/>
      <c r="C357" s="81"/>
      <c r="D357" s="81"/>
    </row>
    <row r="358" spans="1:4" x14ac:dyDescent="0.2">
      <c r="A358" s="81"/>
      <c r="B358" s="81"/>
      <c r="C358" s="81"/>
      <c r="D358" s="81"/>
    </row>
    <row r="359" spans="1:4" x14ac:dyDescent="0.2">
      <c r="A359" s="81"/>
      <c r="B359" s="81"/>
      <c r="C359" s="81"/>
      <c r="D359" s="81"/>
    </row>
    <row r="360" spans="1:4" x14ac:dyDescent="0.2">
      <c r="A360" s="81"/>
      <c r="B360" s="81"/>
      <c r="C360" s="81"/>
      <c r="D360" s="81"/>
    </row>
    <row r="361" spans="1:4" x14ac:dyDescent="0.2">
      <c r="A361" s="81"/>
      <c r="B361" s="81"/>
      <c r="C361" s="81"/>
      <c r="D361" s="81"/>
    </row>
    <row r="362" spans="1:4" x14ac:dyDescent="0.2">
      <c r="A362" s="81"/>
      <c r="B362" s="81"/>
      <c r="C362" s="81"/>
      <c r="D362" s="81"/>
    </row>
    <row r="363" spans="1:4" x14ac:dyDescent="0.2">
      <c r="A363" s="81"/>
      <c r="B363" s="81"/>
      <c r="C363" s="81"/>
      <c r="D363" s="81"/>
    </row>
    <row r="364" spans="1:4" x14ac:dyDescent="0.2">
      <c r="A364" s="81"/>
      <c r="B364" s="81"/>
      <c r="C364" s="81"/>
      <c r="D364" s="81"/>
    </row>
    <row r="365" spans="1:4" x14ac:dyDescent="0.2">
      <c r="A365" s="81"/>
      <c r="B365" s="81"/>
      <c r="C365" s="81"/>
      <c r="D365" s="81"/>
    </row>
    <row r="366" spans="1:4" x14ac:dyDescent="0.2">
      <c r="A366" s="81"/>
      <c r="B366" s="81"/>
      <c r="C366" s="81"/>
      <c r="D366" s="81"/>
    </row>
    <row r="367" spans="1:4" x14ac:dyDescent="0.2">
      <c r="A367" s="81"/>
      <c r="B367" s="81"/>
      <c r="C367" s="81"/>
      <c r="D367" s="81"/>
    </row>
    <row r="368" spans="1:4" x14ac:dyDescent="0.2">
      <c r="A368" s="81"/>
      <c r="B368" s="81"/>
      <c r="C368" s="81"/>
      <c r="D368" s="81"/>
    </row>
    <row r="369" spans="1:4" x14ac:dyDescent="0.2">
      <c r="A369" s="81"/>
      <c r="B369" s="81"/>
      <c r="C369" s="81"/>
      <c r="D369" s="81"/>
    </row>
    <row r="370" spans="1:4" x14ac:dyDescent="0.2">
      <c r="A370" s="81"/>
      <c r="B370" s="81"/>
      <c r="C370" s="81"/>
      <c r="D370" s="81"/>
    </row>
    <row r="371" spans="1:4" x14ac:dyDescent="0.2">
      <c r="A371" s="81"/>
      <c r="B371" s="81"/>
      <c r="C371" s="81"/>
      <c r="D371" s="81"/>
    </row>
    <row r="372" spans="1:4" x14ac:dyDescent="0.2">
      <c r="A372" s="81"/>
      <c r="B372" s="81"/>
      <c r="C372" s="81"/>
      <c r="D372" s="81"/>
    </row>
    <row r="373" spans="1:4" x14ac:dyDescent="0.2">
      <c r="A373" s="81"/>
      <c r="B373" s="81"/>
      <c r="C373" s="81"/>
      <c r="D373" s="81"/>
    </row>
    <row r="374" spans="1:4" x14ac:dyDescent="0.2">
      <c r="A374" s="81"/>
      <c r="B374" s="81"/>
      <c r="C374" s="81"/>
      <c r="D374" s="81"/>
    </row>
    <row r="375" spans="1:4" x14ac:dyDescent="0.2">
      <c r="A375" s="81"/>
      <c r="B375" s="81"/>
      <c r="C375" s="81"/>
      <c r="D375" s="81"/>
    </row>
    <row r="376" spans="1:4" x14ac:dyDescent="0.2">
      <c r="A376" s="81"/>
      <c r="B376" s="81"/>
      <c r="C376" s="81"/>
      <c r="D376" s="81"/>
    </row>
    <row r="377" spans="1:4" x14ac:dyDescent="0.2">
      <c r="A377" s="81"/>
      <c r="B377" s="81"/>
      <c r="C377" s="81"/>
      <c r="D377" s="81"/>
    </row>
    <row r="378" spans="1:4" x14ac:dyDescent="0.2">
      <c r="A378" s="81"/>
      <c r="B378" s="81"/>
      <c r="C378" s="81"/>
      <c r="D378" s="81"/>
    </row>
    <row r="379" spans="1:4" x14ac:dyDescent="0.2">
      <c r="A379" s="81"/>
      <c r="B379" s="81"/>
      <c r="C379" s="81"/>
      <c r="D379" s="81"/>
    </row>
    <row r="380" spans="1:4" x14ac:dyDescent="0.2">
      <c r="A380" s="81"/>
      <c r="B380" s="81"/>
      <c r="C380" s="81"/>
      <c r="D380" s="81"/>
    </row>
    <row r="381" spans="1:4" x14ac:dyDescent="0.2">
      <c r="A381" s="81"/>
      <c r="B381" s="81"/>
      <c r="C381" s="81"/>
      <c r="D381" s="81"/>
    </row>
    <row r="382" spans="1:4" x14ac:dyDescent="0.2">
      <c r="A382" s="81"/>
      <c r="B382" s="81"/>
      <c r="C382" s="81"/>
      <c r="D382" s="81"/>
    </row>
    <row r="383" spans="1:4" x14ac:dyDescent="0.2">
      <c r="A383" s="81"/>
      <c r="B383" s="81"/>
      <c r="C383" s="81"/>
      <c r="D383" s="81"/>
    </row>
    <row r="384" spans="1:4" x14ac:dyDescent="0.2">
      <c r="A384" s="81"/>
      <c r="B384" s="81"/>
      <c r="C384" s="81"/>
      <c r="D384" s="81"/>
    </row>
    <row r="385" spans="1:4" x14ac:dyDescent="0.2">
      <c r="A385" s="81"/>
      <c r="B385" s="81"/>
      <c r="C385" s="81"/>
      <c r="D385" s="81"/>
    </row>
    <row r="386" spans="1:4" x14ac:dyDescent="0.2">
      <c r="A386" s="81"/>
      <c r="B386" s="81"/>
      <c r="C386" s="81"/>
      <c r="D386" s="81"/>
    </row>
  </sheetData>
  <mergeCells count="3">
    <mergeCell ref="A2:H2"/>
    <mergeCell ref="A1:H1"/>
    <mergeCell ref="A4:H4"/>
  </mergeCells>
  <printOptions horizontalCentered="1"/>
  <pageMargins left="0.74803149606299213" right="0.74803149606299213" top="0.31496062992125984" bottom="0.98425196850393704" header="0.51181102362204722" footer="0.51181102362204722"/>
  <pageSetup paperSize="9" scale="74" orientation="portrait" verticalDpi="72"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I26"/>
  <sheetViews>
    <sheetView view="pageBreakPreview" zoomScale="80" zoomScaleNormal="100" zoomScaleSheetLayoutView="80" workbookViewId="0">
      <selection activeCell="A2" sqref="A2:O2"/>
    </sheetView>
  </sheetViews>
  <sheetFormatPr defaultRowHeight="18.75" x14ac:dyDescent="0.3"/>
  <cols>
    <col min="1" max="1" width="10.42578125" style="1928" customWidth="1"/>
    <col min="2" max="2" width="56.28515625" style="1928" customWidth="1"/>
    <col min="3" max="3" width="21.7109375" style="1928" customWidth="1"/>
    <col min="4" max="4" width="28.28515625" style="1928" customWidth="1"/>
    <col min="5" max="5" width="26.42578125" style="1928" customWidth="1"/>
    <col min="6" max="6" width="19.42578125" style="1928" customWidth="1"/>
    <col min="7" max="7" width="19.85546875" style="1928" customWidth="1"/>
    <col min="8" max="8" width="21.5703125" style="1928" customWidth="1"/>
    <col min="9" max="9" width="23.5703125" style="1928" customWidth="1"/>
    <col min="10" max="256" width="9.140625" style="1928"/>
    <col min="257" max="257" width="8.140625" style="1928" customWidth="1"/>
    <col min="258" max="258" width="41" style="1928" customWidth="1"/>
    <col min="259" max="265" width="32.85546875" style="1928" customWidth="1"/>
    <col min="266" max="512" width="9.140625" style="1928"/>
    <col min="513" max="513" width="8.140625" style="1928" customWidth="1"/>
    <col min="514" max="514" width="41" style="1928" customWidth="1"/>
    <col min="515" max="521" width="32.85546875" style="1928" customWidth="1"/>
    <col min="522" max="768" width="9.140625" style="1928"/>
    <col min="769" max="769" width="8.140625" style="1928" customWidth="1"/>
    <col min="770" max="770" width="41" style="1928" customWidth="1"/>
    <col min="771" max="777" width="32.85546875" style="1928" customWidth="1"/>
    <col min="778" max="1024" width="9.140625" style="1928"/>
    <col min="1025" max="1025" width="8.140625" style="1928" customWidth="1"/>
    <col min="1026" max="1026" width="41" style="1928" customWidth="1"/>
    <col min="1027" max="1033" width="32.85546875" style="1928" customWidth="1"/>
    <col min="1034" max="1280" width="9.140625" style="1928"/>
    <col min="1281" max="1281" width="8.140625" style="1928" customWidth="1"/>
    <col min="1282" max="1282" width="41" style="1928" customWidth="1"/>
    <col min="1283" max="1289" width="32.85546875" style="1928" customWidth="1"/>
    <col min="1290" max="1536" width="9.140625" style="1928"/>
    <col min="1537" max="1537" width="8.140625" style="1928" customWidth="1"/>
    <col min="1538" max="1538" width="41" style="1928" customWidth="1"/>
    <col min="1539" max="1545" width="32.85546875" style="1928" customWidth="1"/>
    <col min="1546" max="1792" width="9.140625" style="1928"/>
    <col min="1793" max="1793" width="8.140625" style="1928" customWidth="1"/>
    <col min="1794" max="1794" width="41" style="1928" customWidth="1"/>
    <col min="1795" max="1801" width="32.85546875" style="1928" customWidth="1"/>
    <col min="1802" max="2048" width="9.140625" style="1928"/>
    <col min="2049" max="2049" width="8.140625" style="1928" customWidth="1"/>
    <col min="2050" max="2050" width="41" style="1928" customWidth="1"/>
    <col min="2051" max="2057" width="32.85546875" style="1928" customWidth="1"/>
    <col min="2058" max="2304" width="9.140625" style="1928"/>
    <col min="2305" max="2305" width="8.140625" style="1928" customWidth="1"/>
    <col min="2306" max="2306" width="41" style="1928" customWidth="1"/>
    <col min="2307" max="2313" width="32.85546875" style="1928" customWidth="1"/>
    <col min="2314" max="2560" width="9.140625" style="1928"/>
    <col min="2561" max="2561" width="8.140625" style="1928" customWidth="1"/>
    <col min="2562" max="2562" width="41" style="1928" customWidth="1"/>
    <col min="2563" max="2569" width="32.85546875" style="1928" customWidth="1"/>
    <col min="2570" max="2816" width="9.140625" style="1928"/>
    <col min="2817" max="2817" width="8.140625" style="1928" customWidth="1"/>
    <col min="2818" max="2818" width="41" style="1928" customWidth="1"/>
    <col min="2819" max="2825" width="32.85546875" style="1928" customWidth="1"/>
    <col min="2826" max="3072" width="9.140625" style="1928"/>
    <col min="3073" max="3073" width="8.140625" style="1928" customWidth="1"/>
    <col min="3074" max="3074" width="41" style="1928" customWidth="1"/>
    <col min="3075" max="3081" width="32.85546875" style="1928" customWidth="1"/>
    <col min="3082" max="3328" width="9.140625" style="1928"/>
    <col min="3329" max="3329" width="8.140625" style="1928" customWidth="1"/>
    <col min="3330" max="3330" width="41" style="1928" customWidth="1"/>
    <col min="3331" max="3337" width="32.85546875" style="1928" customWidth="1"/>
    <col min="3338" max="3584" width="9.140625" style="1928"/>
    <col min="3585" max="3585" width="8.140625" style="1928" customWidth="1"/>
    <col min="3586" max="3586" width="41" style="1928" customWidth="1"/>
    <col min="3587" max="3593" width="32.85546875" style="1928" customWidth="1"/>
    <col min="3594" max="3840" width="9.140625" style="1928"/>
    <col min="3841" max="3841" width="8.140625" style="1928" customWidth="1"/>
    <col min="3842" max="3842" width="41" style="1928" customWidth="1"/>
    <col min="3843" max="3849" width="32.85546875" style="1928" customWidth="1"/>
    <col min="3850" max="4096" width="9.140625" style="1928"/>
    <col min="4097" max="4097" width="8.140625" style="1928" customWidth="1"/>
    <col min="4098" max="4098" width="41" style="1928" customWidth="1"/>
    <col min="4099" max="4105" width="32.85546875" style="1928" customWidth="1"/>
    <col min="4106" max="4352" width="9.140625" style="1928"/>
    <col min="4353" max="4353" width="8.140625" style="1928" customWidth="1"/>
    <col min="4354" max="4354" width="41" style="1928" customWidth="1"/>
    <col min="4355" max="4361" width="32.85546875" style="1928" customWidth="1"/>
    <col min="4362" max="4608" width="9.140625" style="1928"/>
    <col min="4609" max="4609" width="8.140625" style="1928" customWidth="1"/>
    <col min="4610" max="4610" width="41" style="1928" customWidth="1"/>
    <col min="4611" max="4617" width="32.85546875" style="1928" customWidth="1"/>
    <col min="4618" max="4864" width="9.140625" style="1928"/>
    <col min="4865" max="4865" width="8.140625" style="1928" customWidth="1"/>
    <col min="4866" max="4866" width="41" style="1928" customWidth="1"/>
    <col min="4867" max="4873" width="32.85546875" style="1928" customWidth="1"/>
    <col min="4874" max="5120" width="9.140625" style="1928"/>
    <col min="5121" max="5121" width="8.140625" style="1928" customWidth="1"/>
    <col min="5122" max="5122" width="41" style="1928" customWidth="1"/>
    <col min="5123" max="5129" width="32.85546875" style="1928" customWidth="1"/>
    <col min="5130" max="5376" width="9.140625" style="1928"/>
    <col min="5377" max="5377" width="8.140625" style="1928" customWidth="1"/>
    <col min="5378" max="5378" width="41" style="1928" customWidth="1"/>
    <col min="5379" max="5385" width="32.85546875" style="1928" customWidth="1"/>
    <col min="5386" max="5632" width="9.140625" style="1928"/>
    <col min="5633" max="5633" width="8.140625" style="1928" customWidth="1"/>
    <col min="5634" max="5634" width="41" style="1928" customWidth="1"/>
    <col min="5635" max="5641" width="32.85546875" style="1928" customWidth="1"/>
    <col min="5642" max="5888" width="9.140625" style="1928"/>
    <col min="5889" max="5889" width="8.140625" style="1928" customWidth="1"/>
    <col min="5890" max="5890" width="41" style="1928" customWidth="1"/>
    <col min="5891" max="5897" width="32.85546875" style="1928" customWidth="1"/>
    <col min="5898" max="6144" width="9.140625" style="1928"/>
    <col min="6145" max="6145" width="8.140625" style="1928" customWidth="1"/>
    <col min="6146" max="6146" width="41" style="1928" customWidth="1"/>
    <col min="6147" max="6153" width="32.85546875" style="1928" customWidth="1"/>
    <col min="6154" max="6400" width="9.140625" style="1928"/>
    <col min="6401" max="6401" width="8.140625" style="1928" customWidth="1"/>
    <col min="6402" max="6402" width="41" style="1928" customWidth="1"/>
    <col min="6403" max="6409" width="32.85546875" style="1928" customWidth="1"/>
    <col min="6410" max="6656" width="9.140625" style="1928"/>
    <col min="6657" max="6657" width="8.140625" style="1928" customWidth="1"/>
    <col min="6658" max="6658" width="41" style="1928" customWidth="1"/>
    <col min="6659" max="6665" width="32.85546875" style="1928" customWidth="1"/>
    <col min="6666" max="6912" width="9.140625" style="1928"/>
    <col min="6913" max="6913" width="8.140625" style="1928" customWidth="1"/>
    <col min="6914" max="6914" width="41" style="1928" customWidth="1"/>
    <col min="6915" max="6921" width="32.85546875" style="1928" customWidth="1"/>
    <col min="6922" max="7168" width="9.140625" style="1928"/>
    <col min="7169" max="7169" width="8.140625" style="1928" customWidth="1"/>
    <col min="7170" max="7170" width="41" style="1928" customWidth="1"/>
    <col min="7171" max="7177" width="32.85546875" style="1928" customWidth="1"/>
    <col min="7178" max="7424" width="9.140625" style="1928"/>
    <col min="7425" max="7425" width="8.140625" style="1928" customWidth="1"/>
    <col min="7426" max="7426" width="41" style="1928" customWidth="1"/>
    <col min="7427" max="7433" width="32.85546875" style="1928" customWidth="1"/>
    <col min="7434" max="7680" width="9.140625" style="1928"/>
    <col min="7681" max="7681" width="8.140625" style="1928" customWidth="1"/>
    <col min="7682" max="7682" width="41" style="1928" customWidth="1"/>
    <col min="7683" max="7689" width="32.85546875" style="1928" customWidth="1"/>
    <col min="7690" max="7936" width="9.140625" style="1928"/>
    <col min="7937" max="7937" width="8.140625" style="1928" customWidth="1"/>
    <col min="7938" max="7938" width="41" style="1928" customWidth="1"/>
    <col min="7939" max="7945" width="32.85546875" style="1928" customWidth="1"/>
    <col min="7946" max="8192" width="9.140625" style="1928"/>
    <col min="8193" max="8193" width="8.140625" style="1928" customWidth="1"/>
    <col min="8194" max="8194" width="41" style="1928" customWidth="1"/>
    <col min="8195" max="8201" width="32.85546875" style="1928" customWidth="1"/>
    <col min="8202" max="8448" width="9.140625" style="1928"/>
    <col min="8449" max="8449" width="8.140625" style="1928" customWidth="1"/>
    <col min="8450" max="8450" width="41" style="1928" customWidth="1"/>
    <col min="8451" max="8457" width="32.85546875" style="1928" customWidth="1"/>
    <col min="8458" max="8704" width="9.140625" style="1928"/>
    <col min="8705" max="8705" width="8.140625" style="1928" customWidth="1"/>
    <col min="8706" max="8706" width="41" style="1928" customWidth="1"/>
    <col min="8707" max="8713" width="32.85546875" style="1928" customWidth="1"/>
    <col min="8714" max="8960" width="9.140625" style="1928"/>
    <col min="8961" max="8961" width="8.140625" style="1928" customWidth="1"/>
    <col min="8962" max="8962" width="41" style="1928" customWidth="1"/>
    <col min="8963" max="8969" width="32.85546875" style="1928" customWidth="1"/>
    <col min="8970" max="9216" width="9.140625" style="1928"/>
    <col min="9217" max="9217" width="8.140625" style="1928" customWidth="1"/>
    <col min="9218" max="9218" width="41" style="1928" customWidth="1"/>
    <col min="9219" max="9225" width="32.85546875" style="1928" customWidth="1"/>
    <col min="9226" max="9472" width="9.140625" style="1928"/>
    <col min="9473" max="9473" width="8.140625" style="1928" customWidth="1"/>
    <col min="9474" max="9474" width="41" style="1928" customWidth="1"/>
    <col min="9475" max="9481" width="32.85546875" style="1928" customWidth="1"/>
    <col min="9482" max="9728" width="9.140625" style="1928"/>
    <col min="9729" max="9729" width="8.140625" style="1928" customWidth="1"/>
    <col min="9730" max="9730" width="41" style="1928" customWidth="1"/>
    <col min="9731" max="9737" width="32.85546875" style="1928" customWidth="1"/>
    <col min="9738" max="9984" width="9.140625" style="1928"/>
    <col min="9985" max="9985" width="8.140625" style="1928" customWidth="1"/>
    <col min="9986" max="9986" width="41" style="1928" customWidth="1"/>
    <col min="9987" max="9993" width="32.85546875" style="1928" customWidth="1"/>
    <col min="9994" max="10240" width="9.140625" style="1928"/>
    <col min="10241" max="10241" width="8.140625" style="1928" customWidth="1"/>
    <col min="10242" max="10242" width="41" style="1928" customWidth="1"/>
    <col min="10243" max="10249" width="32.85546875" style="1928" customWidth="1"/>
    <col min="10250" max="10496" width="9.140625" style="1928"/>
    <col min="10497" max="10497" width="8.140625" style="1928" customWidth="1"/>
    <col min="10498" max="10498" width="41" style="1928" customWidth="1"/>
    <col min="10499" max="10505" width="32.85546875" style="1928" customWidth="1"/>
    <col min="10506" max="10752" width="9.140625" style="1928"/>
    <col min="10753" max="10753" width="8.140625" style="1928" customWidth="1"/>
    <col min="10754" max="10754" width="41" style="1928" customWidth="1"/>
    <col min="10755" max="10761" width="32.85546875" style="1928" customWidth="1"/>
    <col min="10762" max="11008" width="9.140625" style="1928"/>
    <col min="11009" max="11009" width="8.140625" style="1928" customWidth="1"/>
    <col min="11010" max="11010" width="41" style="1928" customWidth="1"/>
    <col min="11011" max="11017" width="32.85546875" style="1928" customWidth="1"/>
    <col min="11018" max="11264" width="9.140625" style="1928"/>
    <col min="11265" max="11265" width="8.140625" style="1928" customWidth="1"/>
    <col min="11266" max="11266" width="41" style="1928" customWidth="1"/>
    <col min="11267" max="11273" width="32.85546875" style="1928" customWidth="1"/>
    <col min="11274" max="11520" width="9.140625" style="1928"/>
    <col min="11521" max="11521" width="8.140625" style="1928" customWidth="1"/>
    <col min="11522" max="11522" width="41" style="1928" customWidth="1"/>
    <col min="11523" max="11529" width="32.85546875" style="1928" customWidth="1"/>
    <col min="11530" max="11776" width="9.140625" style="1928"/>
    <col min="11777" max="11777" width="8.140625" style="1928" customWidth="1"/>
    <col min="11778" max="11778" width="41" style="1928" customWidth="1"/>
    <col min="11779" max="11785" width="32.85546875" style="1928" customWidth="1"/>
    <col min="11786" max="12032" width="9.140625" style="1928"/>
    <col min="12033" max="12033" width="8.140625" style="1928" customWidth="1"/>
    <col min="12034" max="12034" width="41" style="1928" customWidth="1"/>
    <col min="12035" max="12041" width="32.85546875" style="1928" customWidth="1"/>
    <col min="12042" max="12288" width="9.140625" style="1928"/>
    <col min="12289" max="12289" width="8.140625" style="1928" customWidth="1"/>
    <col min="12290" max="12290" width="41" style="1928" customWidth="1"/>
    <col min="12291" max="12297" width="32.85546875" style="1928" customWidth="1"/>
    <col min="12298" max="12544" width="9.140625" style="1928"/>
    <col min="12545" max="12545" width="8.140625" style="1928" customWidth="1"/>
    <col min="12546" max="12546" width="41" style="1928" customWidth="1"/>
    <col min="12547" max="12553" width="32.85546875" style="1928" customWidth="1"/>
    <col min="12554" max="12800" width="9.140625" style="1928"/>
    <col min="12801" max="12801" width="8.140625" style="1928" customWidth="1"/>
    <col min="12802" max="12802" width="41" style="1928" customWidth="1"/>
    <col min="12803" max="12809" width="32.85546875" style="1928" customWidth="1"/>
    <col min="12810" max="13056" width="9.140625" style="1928"/>
    <col min="13057" max="13057" width="8.140625" style="1928" customWidth="1"/>
    <col min="13058" max="13058" width="41" style="1928" customWidth="1"/>
    <col min="13059" max="13065" width="32.85546875" style="1928" customWidth="1"/>
    <col min="13066" max="13312" width="9.140625" style="1928"/>
    <col min="13313" max="13313" width="8.140625" style="1928" customWidth="1"/>
    <col min="13314" max="13314" width="41" style="1928" customWidth="1"/>
    <col min="13315" max="13321" width="32.85546875" style="1928" customWidth="1"/>
    <col min="13322" max="13568" width="9.140625" style="1928"/>
    <col min="13569" max="13569" width="8.140625" style="1928" customWidth="1"/>
    <col min="13570" max="13570" width="41" style="1928" customWidth="1"/>
    <col min="13571" max="13577" width="32.85546875" style="1928" customWidth="1"/>
    <col min="13578" max="13824" width="9.140625" style="1928"/>
    <col min="13825" max="13825" width="8.140625" style="1928" customWidth="1"/>
    <col min="13826" max="13826" width="41" style="1928" customWidth="1"/>
    <col min="13827" max="13833" width="32.85546875" style="1928" customWidth="1"/>
    <col min="13834" max="14080" width="9.140625" style="1928"/>
    <col min="14081" max="14081" width="8.140625" style="1928" customWidth="1"/>
    <col min="14082" max="14082" width="41" style="1928" customWidth="1"/>
    <col min="14083" max="14089" width="32.85546875" style="1928" customWidth="1"/>
    <col min="14090" max="14336" width="9.140625" style="1928"/>
    <col min="14337" max="14337" width="8.140625" style="1928" customWidth="1"/>
    <col min="14338" max="14338" width="41" style="1928" customWidth="1"/>
    <col min="14339" max="14345" width="32.85546875" style="1928" customWidth="1"/>
    <col min="14346" max="14592" width="9.140625" style="1928"/>
    <col min="14593" max="14593" width="8.140625" style="1928" customWidth="1"/>
    <col min="14594" max="14594" width="41" style="1928" customWidth="1"/>
    <col min="14595" max="14601" width="32.85546875" style="1928" customWidth="1"/>
    <col min="14602" max="14848" width="9.140625" style="1928"/>
    <col min="14849" max="14849" width="8.140625" style="1928" customWidth="1"/>
    <col min="14850" max="14850" width="41" style="1928" customWidth="1"/>
    <col min="14851" max="14857" width="32.85546875" style="1928" customWidth="1"/>
    <col min="14858" max="15104" width="9.140625" style="1928"/>
    <col min="15105" max="15105" width="8.140625" style="1928" customWidth="1"/>
    <col min="15106" max="15106" width="41" style="1928" customWidth="1"/>
    <col min="15107" max="15113" width="32.85546875" style="1928" customWidth="1"/>
    <col min="15114" max="15360" width="9.140625" style="1928"/>
    <col min="15361" max="15361" width="8.140625" style="1928" customWidth="1"/>
    <col min="15362" max="15362" width="41" style="1928" customWidth="1"/>
    <col min="15363" max="15369" width="32.85546875" style="1928" customWidth="1"/>
    <col min="15370" max="15616" width="9.140625" style="1928"/>
    <col min="15617" max="15617" width="8.140625" style="1928" customWidth="1"/>
    <col min="15618" max="15618" width="41" style="1928" customWidth="1"/>
    <col min="15619" max="15625" width="32.85546875" style="1928" customWidth="1"/>
    <col min="15626" max="15872" width="9.140625" style="1928"/>
    <col min="15873" max="15873" width="8.140625" style="1928" customWidth="1"/>
    <col min="15874" max="15874" width="41" style="1928" customWidth="1"/>
    <col min="15875" max="15881" width="32.85546875" style="1928" customWidth="1"/>
    <col min="15882" max="16128" width="9.140625" style="1928"/>
    <col min="16129" max="16129" width="8.140625" style="1928" customWidth="1"/>
    <col min="16130" max="16130" width="41" style="1928" customWidth="1"/>
    <col min="16131" max="16137" width="32.85546875" style="1928" customWidth="1"/>
    <col min="16138" max="16384" width="9.140625" style="1928"/>
  </cols>
  <sheetData>
    <row r="1" spans="1:9" ht="21" x14ac:dyDescent="0.35">
      <c r="A1" s="2538" t="str">
        <f>'23.sz.létszám'!A1:F1</f>
        <v>Pilisvörösvár Város Önkormányzata Képviselő-testületének 7/2018. (IV. 27.) önkormányzati rendelete</v>
      </c>
      <c r="B1" s="2539"/>
      <c r="C1" s="2539"/>
      <c r="D1" s="2539"/>
      <c r="E1" s="2539"/>
      <c r="F1" s="2539"/>
      <c r="G1" s="2539"/>
      <c r="H1" s="2539"/>
      <c r="I1" s="2539"/>
    </row>
    <row r="2" spans="1:9" ht="21" customHeight="1" x14ac:dyDescent="0.35">
      <c r="A2" s="2538" t="str">
        <f>'23.sz.létszám'!A2:F2</f>
        <v>az Önkormányzat  2017. évi zárszámadásáról</v>
      </c>
      <c r="B2" s="2539"/>
      <c r="C2" s="2539"/>
      <c r="D2" s="2539"/>
      <c r="E2" s="2539"/>
      <c r="F2" s="2539"/>
      <c r="G2" s="2539"/>
      <c r="H2" s="2539"/>
      <c r="I2" s="2539"/>
    </row>
    <row r="3" spans="1:9" ht="21" x14ac:dyDescent="0.35">
      <c r="A3" s="2538" t="str">
        <f>Tartalomjegyzék_2017!B31</f>
        <v>Immateriális javak és tárgyi eszközök állományának alakulása</v>
      </c>
      <c r="B3" s="2539"/>
      <c r="C3" s="2539"/>
      <c r="D3" s="2539"/>
      <c r="E3" s="2539"/>
      <c r="F3" s="2539"/>
      <c r="G3" s="2539"/>
      <c r="H3" s="2539"/>
      <c r="I3" s="2539"/>
    </row>
    <row r="4" spans="1:9" x14ac:dyDescent="0.3">
      <c r="A4" s="1929"/>
      <c r="B4" s="1930"/>
      <c r="C4" s="1930"/>
      <c r="D4" s="1930"/>
      <c r="E4" s="1930"/>
      <c r="F4" s="1930"/>
      <c r="G4" s="1930"/>
      <c r="H4" s="1930"/>
      <c r="I4" s="1931" t="s">
        <v>1186</v>
      </c>
    </row>
    <row r="5" spans="1:9" x14ac:dyDescent="0.3">
      <c r="I5" s="1932" t="s">
        <v>806</v>
      </c>
    </row>
    <row r="6" spans="1:9" ht="45" x14ac:dyDescent="0.3">
      <c r="A6" s="2068" t="s">
        <v>1513</v>
      </c>
      <c r="B6" s="2068" t="s">
        <v>359</v>
      </c>
      <c r="C6" s="2068" t="s">
        <v>1187</v>
      </c>
      <c r="D6" s="2068" t="s">
        <v>1188</v>
      </c>
      <c r="E6" s="2068" t="s">
        <v>1189</v>
      </c>
      <c r="F6" s="2068" t="s">
        <v>1190</v>
      </c>
      <c r="G6" s="2068" t="s">
        <v>1191</v>
      </c>
      <c r="H6" s="2068" t="s">
        <v>1192</v>
      </c>
      <c r="I6" s="2068" t="s">
        <v>1193</v>
      </c>
    </row>
    <row r="7" spans="1:9" x14ac:dyDescent="0.3">
      <c r="A7" s="2069" t="s">
        <v>1194</v>
      </c>
      <c r="B7" s="2070" t="s">
        <v>1195</v>
      </c>
      <c r="C7" s="2073">
        <v>102789819</v>
      </c>
      <c r="D7" s="2073">
        <v>18934709349</v>
      </c>
      <c r="E7" s="2073">
        <v>353693864</v>
      </c>
      <c r="F7" s="2073">
        <v>0</v>
      </c>
      <c r="G7" s="2073">
        <v>97271970</v>
      </c>
      <c r="H7" s="2073">
        <v>0</v>
      </c>
      <c r="I7" s="2073">
        <v>19488465002</v>
      </c>
    </row>
    <row r="8" spans="1:9" x14ac:dyDescent="0.3">
      <c r="A8" s="2071" t="s">
        <v>1196</v>
      </c>
      <c r="B8" s="2072" t="s">
        <v>1197</v>
      </c>
      <c r="C8" s="2074">
        <v>67796766</v>
      </c>
      <c r="D8" s="2074">
        <v>0</v>
      </c>
      <c r="E8" s="2074">
        <v>0</v>
      </c>
      <c r="F8" s="2074">
        <v>0</v>
      </c>
      <c r="G8" s="2074">
        <v>12812984</v>
      </c>
      <c r="H8" s="2074">
        <v>0</v>
      </c>
      <c r="I8" s="2074">
        <v>80609750</v>
      </c>
    </row>
    <row r="9" spans="1:9" x14ac:dyDescent="0.3">
      <c r="A9" s="2071" t="s">
        <v>1198</v>
      </c>
      <c r="B9" s="2072" t="s">
        <v>1199</v>
      </c>
      <c r="C9" s="2074">
        <v>0</v>
      </c>
      <c r="D9" s="2074">
        <v>332816018</v>
      </c>
      <c r="E9" s="2074">
        <v>30827922</v>
      </c>
      <c r="F9" s="2074">
        <v>0</v>
      </c>
      <c r="G9" s="2074">
        <v>0</v>
      </c>
      <c r="H9" s="2074">
        <v>0</v>
      </c>
      <c r="I9" s="2074">
        <v>363643940</v>
      </c>
    </row>
    <row r="10" spans="1:9" x14ac:dyDescent="0.3">
      <c r="A10" s="2071" t="s">
        <v>1200</v>
      </c>
      <c r="B10" s="2072" t="s">
        <v>1201</v>
      </c>
      <c r="C10" s="2074">
        <v>0</v>
      </c>
      <c r="D10" s="2074">
        <v>8048000</v>
      </c>
      <c r="E10" s="2074">
        <v>604298</v>
      </c>
      <c r="F10" s="2074">
        <v>0</v>
      </c>
      <c r="G10" s="2074">
        <v>0</v>
      </c>
      <c r="H10" s="2074">
        <v>0</v>
      </c>
      <c r="I10" s="2074">
        <v>8652298</v>
      </c>
    </row>
    <row r="11" spans="1:9" x14ac:dyDescent="0.3">
      <c r="A11" s="2071" t="s">
        <v>1202</v>
      </c>
      <c r="B11" s="2072" t="s">
        <v>1203</v>
      </c>
      <c r="C11" s="2074">
        <v>0</v>
      </c>
      <c r="D11" s="2074">
        <v>126442294</v>
      </c>
      <c r="E11" s="2074">
        <v>0</v>
      </c>
      <c r="F11" s="2074">
        <v>0</v>
      </c>
      <c r="G11" s="2074">
        <v>0</v>
      </c>
      <c r="H11" s="2074">
        <v>0</v>
      </c>
      <c r="I11" s="2074">
        <v>126442294</v>
      </c>
    </row>
    <row r="12" spans="1:9" x14ac:dyDescent="0.3">
      <c r="A12" s="2069" t="s">
        <v>1204</v>
      </c>
      <c r="B12" s="2070" t="s">
        <v>1205</v>
      </c>
      <c r="C12" s="2073">
        <v>67796766</v>
      </c>
      <c r="D12" s="2073">
        <v>467306312</v>
      </c>
      <c r="E12" s="2073">
        <v>31432220</v>
      </c>
      <c r="F12" s="2073">
        <v>0</v>
      </c>
      <c r="G12" s="2073">
        <v>12812984</v>
      </c>
      <c r="H12" s="2073">
        <v>0</v>
      </c>
      <c r="I12" s="2073">
        <v>579348282</v>
      </c>
    </row>
    <row r="13" spans="1:9" x14ac:dyDescent="0.3">
      <c r="A13" s="2071" t="s">
        <v>1206</v>
      </c>
      <c r="B13" s="2072" t="s">
        <v>1207</v>
      </c>
      <c r="C13" s="2074">
        <v>0</v>
      </c>
      <c r="D13" s="2074">
        <v>16776000</v>
      </c>
      <c r="E13" s="2074">
        <v>0</v>
      </c>
      <c r="F13" s="2074">
        <v>0</v>
      </c>
      <c r="G13" s="2074">
        <v>0</v>
      </c>
      <c r="H13" s="2074">
        <v>0</v>
      </c>
      <c r="I13" s="2074">
        <v>16776000</v>
      </c>
    </row>
    <row r="14" spans="1:9" x14ac:dyDescent="0.3">
      <c r="A14" s="2071" t="s">
        <v>179</v>
      </c>
      <c r="B14" s="2072" t="s">
        <v>1208</v>
      </c>
      <c r="C14" s="2074">
        <v>0</v>
      </c>
      <c r="D14" s="2074">
        <v>0</v>
      </c>
      <c r="E14" s="2074">
        <v>700604</v>
      </c>
      <c r="F14" s="2074">
        <v>0</v>
      </c>
      <c r="G14" s="2074">
        <v>0</v>
      </c>
      <c r="H14" s="2074">
        <v>0</v>
      </c>
      <c r="I14" s="2074">
        <v>700604</v>
      </c>
    </row>
    <row r="15" spans="1:9" x14ac:dyDescent="0.3">
      <c r="A15" s="2071" t="s">
        <v>181</v>
      </c>
      <c r="B15" s="2072" t="s">
        <v>1209</v>
      </c>
      <c r="C15" s="2074">
        <v>0</v>
      </c>
      <c r="D15" s="2074">
        <v>0</v>
      </c>
      <c r="E15" s="2074">
        <v>1173531</v>
      </c>
      <c r="F15" s="2074">
        <v>0</v>
      </c>
      <c r="G15" s="2074">
        <v>0</v>
      </c>
      <c r="H15" s="2074">
        <v>0</v>
      </c>
      <c r="I15" s="2074">
        <v>1173531</v>
      </c>
    </row>
    <row r="16" spans="1:9" ht="42.75" x14ac:dyDescent="0.3">
      <c r="A16" s="2071" t="s">
        <v>183</v>
      </c>
      <c r="B16" s="2072" t="s">
        <v>1540</v>
      </c>
      <c r="C16" s="2074">
        <v>231250</v>
      </c>
      <c r="D16" s="2074">
        <v>229130860</v>
      </c>
      <c r="E16" s="2074">
        <v>24651720</v>
      </c>
      <c r="F16" s="2074">
        <v>0</v>
      </c>
      <c r="G16" s="2074">
        <v>0</v>
      </c>
      <c r="H16" s="2074">
        <v>0</v>
      </c>
      <c r="I16" s="2074">
        <v>254013830</v>
      </c>
    </row>
    <row r="17" spans="1:9" x14ac:dyDescent="0.3">
      <c r="A17" s="2071" t="s">
        <v>186</v>
      </c>
      <c r="B17" s="2072" t="s">
        <v>1210</v>
      </c>
      <c r="C17" s="2074">
        <v>85000</v>
      </c>
      <c r="D17" s="2074">
        <v>152444687</v>
      </c>
      <c r="E17" s="2074">
        <v>1335307</v>
      </c>
      <c r="F17" s="2074">
        <v>0</v>
      </c>
      <c r="G17" s="2074">
        <v>97011088</v>
      </c>
      <c r="H17" s="2074">
        <v>0</v>
      </c>
      <c r="I17" s="2074">
        <v>250876082</v>
      </c>
    </row>
    <row r="18" spans="1:9" x14ac:dyDescent="0.3">
      <c r="A18" s="2069" t="s">
        <v>188</v>
      </c>
      <c r="B18" s="2070" t="s">
        <v>1211</v>
      </c>
      <c r="C18" s="2073">
        <v>316250</v>
      </c>
      <c r="D18" s="2073">
        <v>398351547</v>
      </c>
      <c r="E18" s="2073">
        <v>27861162</v>
      </c>
      <c r="F18" s="2073">
        <v>0</v>
      </c>
      <c r="G18" s="2073">
        <v>97011088</v>
      </c>
      <c r="H18" s="2073">
        <v>0</v>
      </c>
      <c r="I18" s="2073">
        <v>523540047</v>
      </c>
    </row>
    <row r="19" spans="1:9" x14ac:dyDescent="0.3">
      <c r="A19" s="2069" t="s">
        <v>191</v>
      </c>
      <c r="B19" s="2070" t="s">
        <v>1212</v>
      </c>
      <c r="C19" s="2073">
        <v>170270335</v>
      </c>
      <c r="D19" s="2073">
        <v>19003664114</v>
      </c>
      <c r="E19" s="2073">
        <v>357264922</v>
      </c>
      <c r="F19" s="2073">
        <v>0</v>
      </c>
      <c r="G19" s="2073">
        <v>13073866</v>
      </c>
      <c r="H19" s="2073">
        <v>0</v>
      </c>
      <c r="I19" s="2073">
        <v>19544273237</v>
      </c>
    </row>
    <row r="20" spans="1:9" x14ac:dyDescent="0.3">
      <c r="A20" s="2069" t="s">
        <v>194</v>
      </c>
      <c r="B20" s="2070" t="s">
        <v>1213</v>
      </c>
      <c r="C20" s="2073">
        <v>95616411</v>
      </c>
      <c r="D20" s="2073">
        <v>2358071261</v>
      </c>
      <c r="E20" s="2073">
        <v>216575392</v>
      </c>
      <c r="F20" s="2073">
        <v>0</v>
      </c>
      <c r="G20" s="2073">
        <v>0</v>
      </c>
      <c r="H20" s="2073">
        <v>0</v>
      </c>
      <c r="I20" s="2073">
        <v>2670263064</v>
      </c>
    </row>
    <row r="21" spans="1:9" x14ac:dyDescent="0.3">
      <c r="A21" s="2071" t="s">
        <v>198</v>
      </c>
      <c r="B21" s="2072" t="s">
        <v>1214</v>
      </c>
      <c r="C21" s="2074">
        <v>3715913</v>
      </c>
      <c r="D21" s="2074">
        <v>233725450</v>
      </c>
      <c r="E21" s="2074">
        <v>29739955</v>
      </c>
      <c r="F21" s="2074">
        <v>0</v>
      </c>
      <c r="G21" s="2074">
        <v>0</v>
      </c>
      <c r="H21" s="2074">
        <v>0</v>
      </c>
      <c r="I21" s="2074">
        <v>267181318</v>
      </c>
    </row>
    <row r="22" spans="1:9" x14ac:dyDescent="0.3">
      <c r="A22" s="2071" t="s">
        <v>201</v>
      </c>
      <c r="B22" s="2072" t="s">
        <v>1215</v>
      </c>
      <c r="C22" s="2074">
        <v>231250</v>
      </c>
      <c r="D22" s="2074">
        <v>79303529</v>
      </c>
      <c r="E22" s="2074">
        <v>15562731</v>
      </c>
      <c r="F22" s="2074">
        <v>0</v>
      </c>
      <c r="G22" s="2074">
        <v>0</v>
      </c>
      <c r="H22" s="2074">
        <v>0</v>
      </c>
      <c r="I22" s="2074">
        <v>95097510</v>
      </c>
    </row>
    <row r="23" spans="1:9" ht="30" x14ac:dyDescent="0.3">
      <c r="A23" s="2069" t="s">
        <v>203</v>
      </c>
      <c r="B23" s="2070" t="s">
        <v>1216</v>
      </c>
      <c r="C23" s="2073">
        <v>99101074</v>
      </c>
      <c r="D23" s="2073">
        <v>2512493182</v>
      </c>
      <c r="E23" s="2073">
        <v>230752616</v>
      </c>
      <c r="F23" s="2073">
        <v>0</v>
      </c>
      <c r="G23" s="2073">
        <v>0</v>
      </c>
      <c r="H23" s="2073">
        <v>0</v>
      </c>
      <c r="I23" s="2073">
        <v>2842346872</v>
      </c>
    </row>
    <row r="24" spans="1:9" x14ac:dyDescent="0.3">
      <c r="A24" s="2069" t="s">
        <v>208</v>
      </c>
      <c r="B24" s="2070" t="s">
        <v>1217</v>
      </c>
      <c r="C24" s="2073">
        <v>99101074</v>
      </c>
      <c r="D24" s="2073">
        <v>2512493182</v>
      </c>
      <c r="E24" s="2073">
        <v>230752616</v>
      </c>
      <c r="F24" s="2073">
        <v>0</v>
      </c>
      <c r="G24" s="2073">
        <v>0</v>
      </c>
      <c r="H24" s="2073">
        <v>0</v>
      </c>
      <c r="I24" s="2073">
        <v>2842346872</v>
      </c>
    </row>
    <row r="25" spans="1:9" x14ac:dyDescent="0.3">
      <c r="A25" s="2069" t="s">
        <v>81</v>
      </c>
      <c r="B25" s="2070" t="s">
        <v>1218</v>
      </c>
      <c r="C25" s="2073">
        <v>71169261</v>
      </c>
      <c r="D25" s="2073">
        <v>16491170932</v>
      </c>
      <c r="E25" s="2073">
        <v>126512306</v>
      </c>
      <c r="F25" s="2073">
        <v>0</v>
      </c>
      <c r="G25" s="2073">
        <v>13073866</v>
      </c>
      <c r="H25" s="2073">
        <v>0</v>
      </c>
      <c r="I25" s="2073">
        <v>16701926365</v>
      </c>
    </row>
    <row r="26" spans="1:9" x14ac:dyDescent="0.3">
      <c r="A26" s="2071" t="s">
        <v>211</v>
      </c>
      <c r="B26" s="2072" t="s">
        <v>1219</v>
      </c>
      <c r="C26" s="2074">
        <v>93181613</v>
      </c>
      <c r="D26" s="2074">
        <v>171599266</v>
      </c>
      <c r="E26" s="2074">
        <v>145660340</v>
      </c>
      <c r="F26" s="2074">
        <v>0</v>
      </c>
      <c r="G26" s="2074">
        <v>0</v>
      </c>
      <c r="H26" s="2074">
        <v>0</v>
      </c>
      <c r="I26" s="2074">
        <v>410441219</v>
      </c>
    </row>
  </sheetData>
  <mergeCells count="3">
    <mergeCell ref="A1:I1"/>
    <mergeCell ref="A2:I2"/>
    <mergeCell ref="A3:I3"/>
  </mergeCells>
  <printOptions horizontalCentered="1"/>
  <pageMargins left="0.23622047244094491" right="0.23622047244094491" top="0.74803149606299213" bottom="0.74803149606299213" header="0.31496062992125984" footer="0.31496062992125984"/>
  <pageSetup scale="66" orientation="landscape"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N92"/>
  <sheetViews>
    <sheetView view="pageBreakPreview" zoomScale="50" zoomScaleNormal="100" zoomScaleSheetLayoutView="50" workbookViewId="0">
      <selection activeCell="A2" sqref="A2:O2"/>
    </sheetView>
  </sheetViews>
  <sheetFormatPr defaultRowHeight="15" x14ac:dyDescent="0.25"/>
  <cols>
    <col min="1" max="1" width="102.42578125" style="2042" customWidth="1"/>
    <col min="2" max="3" width="29.28515625" style="1986" customWidth="1"/>
    <col min="4" max="4" width="29" style="1986" customWidth="1"/>
    <col min="5" max="5" width="27" style="1986" customWidth="1"/>
    <col min="6" max="6" width="27.7109375" style="1986" customWidth="1"/>
    <col min="7" max="7" width="30.28515625" style="1986" customWidth="1"/>
    <col min="8" max="8" width="31.5703125" style="1986" customWidth="1"/>
    <col min="9" max="9" width="34.7109375" style="1986" customWidth="1"/>
    <col min="10" max="10" width="34.42578125" style="1986" customWidth="1"/>
    <col min="11" max="11" width="33.140625" style="1986" customWidth="1"/>
    <col min="12" max="12" width="24.85546875" style="1986" bestFit="1" customWidth="1"/>
    <col min="13" max="13" width="19.140625" style="1986" bestFit="1" customWidth="1"/>
    <col min="14" max="16384" width="9.140625" style="1986"/>
  </cols>
  <sheetData>
    <row r="1" spans="1:11" ht="31.5" x14ac:dyDescent="0.5">
      <c r="A1" s="2540" t="str">
        <f>'24. Immatjavak, tárgyi eszk.'!A1:I1</f>
        <v>Pilisvörösvár Város Önkormányzata Képviselő-testületének 7/2018. (IV. 27.) önkormányzati rendelete</v>
      </c>
      <c r="B1" s="2541"/>
      <c r="C1" s="2541"/>
      <c r="D1" s="2541"/>
      <c r="E1" s="2542"/>
      <c r="F1" s="2542"/>
      <c r="G1" s="2542"/>
      <c r="H1" s="2542"/>
      <c r="I1" s="2542"/>
      <c r="J1" s="2542"/>
      <c r="K1" s="2403"/>
    </row>
    <row r="2" spans="1:11" ht="31.5" customHeight="1" x14ac:dyDescent="0.5">
      <c r="A2" s="2540" t="str">
        <f>'24. Immatjavak, tárgyi eszk.'!A2:I2</f>
        <v>az Önkormányzat  2017. évi zárszámadásáról</v>
      </c>
      <c r="B2" s="2541"/>
      <c r="C2" s="2541"/>
      <c r="D2" s="2541"/>
      <c r="E2" s="2542"/>
      <c r="F2" s="2542"/>
      <c r="G2" s="2542"/>
      <c r="H2" s="2542"/>
      <c r="I2" s="2542"/>
      <c r="J2" s="2542"/>
      <c r="K2" s="2403"/>
    </row>
    <row r="3" spans="1:11" ht="31.5" x14ac:dyDescent="0.5">
      <c r="A3" s="2540" t="s">
        <v>1114</v>
      </c>
      <c r="B3" s="2541"/>
      <c r="C3" s="2541"/>
      <c r="D3" s="2541"/>
      <c r="E3" s="2542"/>
      <c r="F3" s="2542"/>
      <c r="G3" s="2542"/>
      <c r="H3" s="2542"/>
      <c r="I3" s="2542"/>
      <c r="J3" s="2542"/>
      <c r="K3" s="2403"/>
    </row>
    <row r="4" spans="1:11" ht="27.75" customHeight="1" x14ac:dyDescent="0.45">
      <c r="A4" s="1987"/>
      <c r="B4" s="1988"/>
      <c r="C4" s="1988"/>
      <c r="D4" s="1988"/>
      <c r="E4" s="1989"/>
      <c r="F4" s="1989"/>
      <c r="G4" s="1989"/>
      <c r="H4" s="1989"/>
      <c r="I4" s="1989"/>
      <c r="J4" s="1989"/>
      <c r="K4" s="1990"/>
    </row>
    <row r="5" spans="1:11" ht="30.75" x14ac:dyDescent="0.45">
      <c r="A5" s="1991"/>
      <c r="B5" s="1990"/>
      <c r="C5" s="1990"/>
      <c r="D5" s="1990"/>
      <c r="E5" s="1990"/>
      <c r="F5" s="1990"/>
      <c r="G5" s="1990"/>
      <c r="H5" s="1990"/>
      <c r="I5" s="1990"/>
      <c r="J5" s="1990"/>
      <c r="K5" s="1312" t="s">
        <v>1138</v>
      </c>
    </row>
    <row r="6" spans="1:11" ht="30.75" x14ac:dyDescent="0.45">
      <c r="A6" s="1991"/>
      <c r="B6" s="1990"/>
      <c r="C6" s="1990"/>
      <c r="D6" s="1990"/>
      <c r="E6" s="1990"/>
      <c r="F6" s="1990"/>
      <c r="G6" s="1990"/>
      <c r="H6" s="1990"/>
      <c r="I6" s="1990"/>
      <c r="J6" s="1990"/>
      <c r="K6" s="1992" t="s">
        <v>806</v>
      </c>
    </row>
    <row r="7" spans="1:11" ht="79.5" customHeight="1" x14ac:dyDescent="0.25">
      <c r="A7" s="1993" t="s">
        <v>359</v>
      </c>
      <c r="B7" s="1994" t="s">
        <v>579</v>
      </c>
      <c r="C7" s="1995" t="s">
        <v>608</v>
      </c>
      <c r="D7" s="1995" t="s">
        <v>571</v>
      </c>
      <c r="E7" s="1995" t="s">
        <v>94</v>
      </c>
      <c r="F7" s="1995" t="s">
        <v>609</v>
      </c>
      <c r="G7" s="1995" t="s">
        <v>566</v>
      </c>
      <c r="H7" s="1995" t="s">
        <v>568</v>
      </c>
      <c r="I7" s="1995" t="s">
        <v>910</v>
      </c>
      <c r="J7" s="1995" t="s">
        <v>1139</v>
      </c>
      <c r="K7" s="1995" t="s">
        <v>1140</v>
      </c>
    </row>
    <row r="8" spans="1:11" ht="36" customHeight="1" x14ac:dyDescent="0.4">
      <c r="A8" s="1996" t="s">
        <v>1141</v>
      </c>
      <c r="B8" s="1997">
        <v>1614828916</v>
      </c>
      <c r="C8" s="1997">
        <v>58013621</v>
      </c>
      <c r="D8" s="1997">
        <v>314154754</v>
      </c>
      <c r="E8" s="1997">
        <v>450865</v>
      </c>
      <c r="F8" s="1997">
        <v>353635</v>
      </c>
      <c r="G8" s="1997">
        <v>23453399</v>
      </c>
      <c r="H8" s="1997">
        <v>153000</v>
      </c>
      <c r="I8" s="1997">
        <v>2915480</v>
      </c>
      <c r="J8" s="1997">
        <f>SUM(E8:I8)</f>
        <v>27326379</v>
      </c>
      <c r="K8" s="1997">
        <f>B8+C8+D8+J8</f>
        <v>2014323670</v>
      </c>
    </row>
    <row r="9" spans="1:11" ht="36" customHeight="1" x14ac:dyDescent="0.4">
      <c r="A9" s="1996" t="s">
        <v>1142</v>
      </c>
      <c r="B9" s="1997">
        <v>749641043</v>
      </c>
      <c r="C9" s="1997">
        <v>436725423</v>
      </c>
      <c r="D9" s="1997">
        <v>302758326</v>
      </c>
      <c r="E9" s="1997">
        <v>192069032</v>
      </c>
      <c r="F9" s="1997">
        <v>152831480</v>
      </c>
      <c r="G9" s="1997">
        <v>93692908</v>
      </c>
      <c r="H9" s="1997">
        <v>34635537</v>
      </c>
      <c r="I9" s="1997">
        <v>28048816</v>
      </c>
      <c r="J9" s="1997">
        <f t="shared" ref="J9:J13" si="0">SUM(E9:I9)</f>
        <v>501277773</v>
      </c>
      <c r="K9" s="1997">
        <f>B9+C9+D9+J9</f>
        <v>1990402565</v>
      </c>
    </row>
    <row r="10" spans="1:11" s="2000" customFormat="1" ht="36" customHeight="1" x14ac:dyDescent="0.35">
      <c r="A10" s="1998" t="s">
        <v>1143</v>
      </c>
      <c r="B10" s="1999">
        <f>B8-B9</f>
        <v>865187873</v>
      </c>
      <c r="C10" s="1999">
        <f>C8-C9</f>
        <v>-378711802</v>
      </c>
      <c r="D10" s="1999">
        <f t="shared" ref="D10:K10" si="1">D8-D9</f>
        <v>11396428</v>
      </c>
      <c r="E10" s="1999">
        <f t="shared" si="1"/>
        <v>-191618167</v>
      </c>
      <c r="F10" s="1999">
        <f t="shared" si="1"/>
        <v>-152477845</v>
      </c>
      <c r="G10" s="1999">
        <f t="shared" si="1"/>
        <v>-70239509</v>
      </c>
      <c r="H10" s="1999">
        <f t="shared" si="1"/>
        <v>-34482537</v>
      </c>
      <c r="I10" s="1999">
        <f t="shared" si="1"/>
        <v>-25133336</v>
      </c>
      <c r="J10" s="1999">
        <f t="shared" si="0"/>
        <v>-473951394</v>
      </c>
      <c r="K10" s="1999">
        <f t="shared" si="1"/>
        <v>23921105</v>
      </c>
    </row>
    <row r="11" spans="1:11" ht="36" customHeight="1" x14ac:dyDescent="0.4">
      <c r="A11" s="1996" t="s">
        <v>1144</v>
      </c>
      <c r="B11" s="1997">
        <v>642825063</v>
      </c>
      <c r="C11" s="1997">
        <v>378711802</v>
      </c>
      <c r="D11" s="1997">
        <v>14264407</v>
      </c>
      <c r="E11" s="1997">
        <v>192070272</v>
      </c>
      <c r="F11" s="1997">
        <v>152808158</v>
      </c>
      <c r="G11" s="1997">
        <v>70334949</v>
      </c>
      <c r="H11" s="1997">
        <v>34615277</v>
      </c>
      <c r="I11" s="1997">
        <v>25292057</v>
      </c>
      <c r="J11" s="1997">
        <f t="shared" si="0"/>
        <v>475120713</v>
      </c>
      <c r="K11" s="1997">
        <f>B11+C11+D11+J11</f>
        <v>1510921985</v>
      </c>
    </row>
    <row r="12" spans="1:11" ht="36" customHeight="1" x14ac:dyDescent="0.4">
      <c r="A12" s="1996" t="s">
        <v>1145</v>
      </c>
      <c r="B12" s="1997">
        <v>1224947587</v>
      </c>
      <c r="C12" s="1997">
        <v>0</v>
      </c>
      <c r="D12" s="1997">
        <v>0</v>
      </c>
      <c r="E12" s="1997"/>
      <c r="F12" s="1997">
        <v>0</v>
      </c>
      <c r="G12" s="1997">
        <v>0</v>
      </c>
      <c r="H12" s="1997">
        <v>0</v>
      </c>
      <c r="I12" s="1997">
        <v>0</v>
      </c>
      <c r="J12" s="1997">
        <f t="shared" si="0"/>
        <v>0</v>
      </c>
      <c r="K12" s="1997">
        <f>B12+C12+D12+J12</f>
        <v>1224947587</v>
      </c>
    </row>
    <row r="13" spans="1:11" s="2000" customFormat="1" ht="36" customHeight="1" x14ac:dyDescent="0.35">
      <c r="A13" s="1998" t="s">
        <v>1146</v>
      </c>
      <c r="B13" s="1999">
        <f>B11-B12</f>
        <v>-582122524</v>
      </c>
      <c r="C13" s="1999">
        <f>C11-C12</f>
        <v>378711802</v>
      </c>
      <c r="D13" s="1999">
        <f t="shared" ref="D13:K13" si="2">D11-D12</f>
        <v>14264407</v>
      </c>
      <c r="E13" s="1999">
        <f t="shared" si="2"/>
        <v>192070272</v>
      </c>
      <c r="F13" s="1999">
        <f t="shared" si="2"/>
        <v>152808158</v>
      </c>
      <c r="G13" s="1999">
        <f t="shared" si="2"/>
        <v>70334949</v>
      </c>
      <c r="H13" s="1999">
        <f t="shared" si="2"/>
        <v>34615277</v>
      </c>
      <c r="I13" s="1999">
        <f t="shared" si="2"/>
        <v>25292057</v>
      </c>
      <c r="J13" s="1999">
        <f t="shared" si="0"/>
        <v>475120713</v>
      </c>
      <c r="K13" s="1999">
        <f t="shared" si="2"/>
        <v>285974398</v>
      </c>
    </row>
    <row r="14" spans="1:11" s="2000" customFormat="1" ht="36" customHeight="1" x14ac:dyDescent="0.35">
      <c r="A14" s="2001" t="s">
        <v>1147</v>
      </c>
      <c r="B14" s="2002">
        <f>B10+B13</f>
        <v>283065349</v>
      </c>
      <c r="C14" s="2002">
        <f>C10+C13</f>
        <v>0</v>
      </c>
      <c r="D14" s="2002">
        <f t="shared" ref="D14:K14" si="3">D10+D13</f>
        <v>25660835</v>
      </c>
      <c r="E14" s="2002">
        <f t="shared" si="3"/>
        <v>452105</v>
      </c>
      <c r="F14" s="2002">
        <f t="shared" si="3"/>
        <v>330313</v>
      </c>
      <c r="G14" s="2002">
        <f t="shared" si="3"/>
        <v>95440</v>
      </c>
      <c r="H14" s="2002">
        <f t="shared" si="3"/>
        <v>132740</v>
      </c>
      <c r="I14" s="2002">
        <f t="shared" si="3"/>
        <v>158721</v>
      </c>
      <c r="J14" s="2002">
        <f>J10+J13</f>
        <v>1169319</v>
      </c>
      <c r="K14" s="2002">
        <f t="shared" si="3"/>
        <v>309895503</v>
      </c>
    </row>
    <row r="15" spans="1:11" ht="36" customHeight="1" x14ac:dyDescent="0.4">
      <c r="A15" s="1996" t="s">
        <v>1148</v>
      </c>
      <c r="B15" s="1997">
        <v>0</v>
      </c>
      <c r="C15" s="1997">
        <v>61521631</v>
      </c>
      <c r="D15" s="1997">
        <v>0</v>
      </c>
      <c r="E15" s="1997">
        <v>0</v>
      </c>
      <c r="F15" s="1997"/>
      <c r="G15" s="1997">
        <v>6498610</v>
      </c>
      <c r="H15" s="1997">
        <v>0</v>
      </c>
      <c r="I15" s="1997">
        <v>0</v>
      </c>
      <c r="J15" s="1997">
        <f>SUM(E15:I15)</f>
        <v>6498610</v>
      </c>
      <c r="K15" s="1997">
        <f>B15+C15+D15+J15</f>
        <v>68020241</v>
      </c>
    </row>
    <row r="16" spans="1:11" ht="36" customHeight="1" x14ac:dyDescent="0.4">
      <c r="A16" s="1996" t="s">
        <v>1149</v>
      </c>
      <c r="B16" s="1997">
        <v>0</v>
      </c>
      <c r="C16" s="1997">
        <v>58856197</v>
      </c>
      <c r="D16" s="1997">
        <v>0</v>
      </c>
      <c r="E16" s="1997">
        <v>0</v>
      </c>
      <c r="F16" s="1997"/>
      <c r="G16" s="1997">
        <v>6452283</v>
      </c>
      <c r="H16" s="1997">
        <v>0</v>
      </c>
      <c r="I16" s="1997">
        <v>0</v>
      </c>
      <c r="J16" s="1997">
        <f t="shared" ref="J16:J20" si="4">SUM(E16:I16)</f>
        <v>6452283</v>
      </c>
      <c r="K16" s="1997">
        <f>B16+C16+D16+J16</f>
        <v>65308480</v>
      </c>
    </row>
    <row r="17" spans="1:14" s="2000" customFormat="1" ht="36" customHeight="1" x14ac:dyDescent="0.35">
      <c r="A17" s="1998" t="s">
        <v>1150</v>
      </c>
      <c r="B17" s="1999">
        <f>B15-B16</f>
        <v>0</v>
      </c>
      <c r="C17" s="1999">
        <f>C15-C16</f>
        <v>2665434</v>
      </c>
      <c r="D17" s="1999">
        <f t="shared" ref="D17:K17" si="5">D15-D16</f>
        <v>0</v>
      </c>
      <c r="E17" s="1999">
        <f t="shared" si="5"/>
        <v>0</v>
      </c>
      <c r="F17" s="1999">
        <f t="shared" si="5"/>
        <v>0</v>
      </c>
      <c r="G17" s="1999">
        <f t="shared" si="5"/>
        <v>46327</v>
      </c>
      <c r="H17" s="1999">
        <f t="shared" si="5"/>
        <v>0</v>
      </c>
      <c r="I17" s="1999">
        <f t="shared" si="5"/>
        <v>0</v>
      </c>
      <c r="J17" s="1999">
        <f t="shared" si="4"/>
        <v>46327</v>
      </c>
      <c r="K17" s="1999">
        <f t="shared" si="5"/>
        <v>2711761</v>
      </c>
    </row>
    <row r="18" spans="1:14" ht="36" customHeight="1" x14ac:dyDescent="0.4">
      <c r="A18" s="1996" t="s">
        <v>1151</v>
      </c>
      <c r="B18" s="1997">
        <v>0</v>
      </c>
      <c r="C18" s="1997">
        <v>0</v>
      </c>
      <c r="D18" s="1997">
        <v>0</v>
      </c>
      <c r="E18" s="1997">
        <v>0</v>
      </c>
      <c r="F18" s="1997">
        <v>0</v>
      </c>
      <c r="G18" s="1997">
        <v>0</v>
      </c>
      <c r="H18" s="1997">
        <v>0</v>
      </c>
      <c r="I18" s="1997">
        <v>0</v>
      </c>
      <c r="J18" s="1997">
        <f t="shared" si="4"/>
        <v>0</v>
      </c>
      <c r="K18" s="1997">
        <f>B18+C18+D18+J18</f>
        <v>0</v>
      </c>
    </row>
    <row r="19" spans="1:14" ht="36" customHeight="1" x14ac:dyDescent="0.4">
      <c r="A19" s="1996" t="s">
        <v>1152</v>
      </c>
      <c r="B19" s="1997">
        <v>0</v>
      </c>
      <c r="C19" s="1997">
        <v>0</v>
      </c>
      <c r="D19" s="1997">
        <v>0</v>
      </c>
      <c r="E19" s="1997">
        <v>0</v>
      </c>
      <c r="F19" s="1997">
        <v>0</v>
      </c>
      <c r="G19" s="1997">
        <v>0</v>
      </c>
      <c r="H19" s="1997">
        <v>0</v>
      </c>
      <c r="I19" s="1997">
        <v>0</v>
      </c>
      <c r="J19" s="1997">
        <f t="shared" si="4"/>
        <v>0</v>
      </c>
      <c r="K19" s="1997">
        <f>B19+C19+D19+J19</f>
        <v>0</v>
      </c>
    </row>
    <row r="20" spans="1:14" s="2000" customFormat="1" ht="36" customHeight="1" x14ac:dyDescent="0.35">
      <c r="A20" s="1998" t="s">
        <v>1153</v>
      </c>
      <c r="B20" s="1999">
        <f>B18-B19</f>
        <v>0</v>
      </c>
      <c r="C20" s="1999">
        <f>C18-C19</f>
        <v>0</v>
      </c>
      <c r="D20" s="1999">
        <f t="shared" ref="D20:K20" si="6">D18-D19</f>
        <v>0</v>
      </c>
      <c r="E20" s="1999">
        <f t="shared" si="6"/>
        <v>0</v>
      </c>
      <c r="F20" s="1999">
        <f t="shared" si="6"/>
        <v>0</v>
      </c>
      <c r="G20" s="1999">
        <f t="shared" si="6"/>
        <v>0</v>
      </c>
      <c r="H20" s="1999">
        <f t="shared" si="6"/>
        <v>0</v>
      </c>
      <c r="I20" s="1999">
        <f t="shared" si="6"/>
        <v>0</v>
      </c>
      <c r="J20" s="1999">
        <f t="shared" si="4"/>
        <v>0</v>
      </c>
      <c r="K20" s="1999">
        <f t="shared" si="6"/>
        <v>0</v>
      </c>
    </row>
    <row r="21" spans="1:14" s="2000" customFormat="1" ht="36" customHeight="1" x14ac:dyDescent="0.35">
      <c r="A21" s="2001" t="s">
        <v>1154</v>
      </c>
      <c r="B21" s="2002">
        <f>B17+B20</f>
        <v>0</v>
      </c>
      <c r="C21" s="2002">
        <f>C17+C20</f>
        <v>2665434</v>
      </c>
      <c r="D21" s="2002">
        <f t="shared" ref="D21:K21" si="7">D17+D20</f>
        <v>0</v>
      </c>
      <c r="E21" s="2002">
        <f t="shared" si="7"/>
        <v>0</v>
      </c>
      <c r="F21" s="2002">
        <f t="shared" si="7"/>
        <v>0</v>
      </c>
      <c r="G21" s="2002">
        <f t="shared" si="7"/>
        <v>46327</v>
      </c>
      <c r="H21" s="2002">
        <f t="shared" si="7"/>
        <v>0</v>
      </c>
      <c r="I21" s="2002">
        <f t="shared" si="7"/>
        <v>0</v>
      </c>
      <c r="J21" s="2002">
        <f>J17+J20</f>
        <v>46327</v>
      </c>
      <c r="K21" s="2002">
        <f t="shared" si="7"/>
        <v>2711761</v>
      </c>
    </row>
    <row r="22" spans="1:14" s="2000" customFormat="1" ht="36" customHeight="1" x14ac:dyDescent="0.35">
      <c r="A22" s="1998" t="s">
        <v>1155</v>
      </c>
      <c r="B22" s="1999">
        <f>B14+B21</f>
        <v>283065349</v>
      </c>
      <c r="C22" s="1999">
        <f>C14+C21</f>
        <v>2665434</v>
      </c>
      <c r="D22" s="1999">
        <f t="shared" ref="D22:K22" si="8">D14+D21</f>
        <v>25660835</v>
      </c>
      <c r="E22" s="1999">
        <f t="shared" si="8"/>
        <v>452105</v>
      </c>
      <c r="F22" s="1999">
        <f t="shared" si="8"/>
        <v>330313</v>
      </c>
      <c r="G22" s="1999">
        <f>G14+G21</f>
        <v>141767</v>
      </c>
      <c r="H22" s="1999">
        <f t="shared" si="8"/>
        <v>132740</v>
      </c>
      <c r="I22" s="1999">
        <f t="shared" si="8"/>
        <v>158721</v>
      </c>
      <c r="J22" s="1999">
        <f>J14+J21</f>
        <v>1215646</v>
      </c>
      <c r="K22" s="1999">
        <f t="shared" si="8"/>
        <v>312607264</v>
      </c>
    </row>
    <row r="23" spans="1:14" s="2000" customFormat="1" ht="45" x14ac:dyDescent="0.35">
      <c r="A23" s="2001" t="s">
        <v>1156</v>
      </c>
      <c r="B23" s="2002">
        <v>127182000</v>
      </c>
      <c r="C23" s="2002"/>
      <c r="D23" s="2002"/>
      <c r="E23" s="2002">
        <v>259637</v>
      </c>
      <c r="F23" s="2002">
        <v>210038</v>
      </c>
      <c r="G23" s="2002">
        <v>23540</v>
      </c>
      <c r="H23" s="2002">
        <v>0</v>
      </c>
      <c r="I23" s="2002">
        <v>13350</v>
      </c>
      <c r="J23" s="2002">
        <f>SUM(E23:I23)</f>
        <v>506565</v>
      </c>
      <c r="K23" s="2002">
        <f>B23+C23+D23+J23</f>
        <v>127688565</v>
      </c>
    </row>
    <row r="24" spans="1:14" s="2000" customFormat="1" ht="36" customHeight="1" x14ac:dyDescent="0.35">
      <c r="A24" s="2003" t="s">
        <v>1157</v>
      </c>
      <c r="B24" s="2004">
        <f>B14-B23</f>
        <v>155883349</v>
      </c>
      <c r="C24" s="2004">
        <f t="shared" ref="C24:I24" si="9">C14-C23</f>
        <v>0</v>
      </c>
      <c r="D24" s="2004">
        <f t="shared" si="9"/>
        <v>25660835</v>
      </c>
      <c r="E24" s="2004">
        <f t="shared" si="9"/>
        <v>192468</v>
      </c>
      <c r="F24" s="2004">
        <f t="shared" si="9"/>
        <v>120275</v>
      </c>
      <c r="G24" s="2004">
        <f>G14-G23</f>
        <v>71900</v>
      </c>
      <c r="H24" s="2004">
        <f t="shared" si="9"/>
        <v>132740</v>
      </c>
      <c r="I24" s="2004">
        <f t="shared" si="9"/>
        <v>145371</v>
      </c>
      <c r="J24" s="2004">
        <f>J14-J23</f>
        <v>662754</v>
      </c>
      <c r="K24" s="2004">
        <f>B24+C24+D24+J24</f>
        <v>182206938</v>
      </c>
      <c r="L24" s="2005"/>
      <c r="N24" s="2285"/>
    </row>
    <row r="25" spans="1:14" s="2000" customFormat="1" ht="48" customHeight="1" x14ac:dyDescent="0.35">
      <c r="A25" s="2006" t="s">
        <v>1511</v>
      </c>
      <c r="B25" s="1999">
        <v>0</v>
      </c>
      <c r="C25" s="1999">
        <f>C21*0.09</f>
        <v>239889.06</v>
      </c>
      <c r="D25" s="1999">
        <v>0</v>
      </c>
      <c r="E25" s="1999">
        <v>0</v>
      </c>
      <c r="F25" s="1999">
        <v>0</v>
      </c>
      <c r="G25" s="1999">
        <f>G21*0.09</f>
        <v>4169.43</v>
      </c>
      <c r="H25" s="1999">
        <v>0</v>
      </c>
      <c r="I25" s="1999">
        <v>0</v>
      </c>
      <c r="J25" s="1999">
        <f>SUM(E25:I25)</f>
        <v>4169.43</v>
      </c>
      <c r="K25" s="1999">
        <f>B25+C25+D25+J25</f>
        <v>244058.49</v>
      </c>
      <c r="L25" s="2005"/>
    </row>
    <row r="26" spans="1:14" s="2000" customFormat="1" ht="43.5" customHeight="1" x14ac:dyDescent="0.35">
      <c r="A26" s="2006" t="s">
        <v>1158</v>
      </c>
      <c r="B26" s="1999">
        <f t="shared" ref="B26:I26" si="10">B21-B25</f>
        <v>0</v>
      </c>
      <c r="C26" s="1999">
        <f>C21-C25</f>
        <v>2425544.94</v>
      </c>
      <c r="D26" s="1999">
        <f t="shared" si="10"/>
        <v>0</v>
      </c>
      <c r="E26" s="1999">
        <f t="shared" si="10"/>
        <v>0</v>
      </c>
      <c r="F26" s="1999">
        <f t="shared" si="10"/>
        <v>0</v>
      </c>
      <c r="G26" s="1999">
        <f>G21-G25</f>
        <v>42157.57</v>
      </c>
      <c r="H26" s="1999">
        <f t="shared" si="10"/>
        <v>0</v>
      </c>
      <c r="I26" s="1999">
        <f t="shared" si="10"/>
        <v>0</v>
      </c>
      <c r="J26" s="1999">
        <f>SUM(E26:I26)</f>
        <v>42157.57</v>
      </c>
      <c r="K26" s="1999">
        <f>B26+C26+D26+J26</f>
        <v>2467702.5099999998</v>
      </c>
      <c r="L26" s="2005"/>
    </row>
    <row r="27" spans="1:14" s="2000" customFormat="1" ht="36" customHeight="1" x14ac:dyDescent="0.35">
      <c r="A27" s="2001" t="s">
        <v>1512</v>
      </c>
      <c r="B27" s="2002">
        <v>0</v>
      </c>
      <c r="C27" s="2002">
        <f>C14+C21-C23-C25</f>
        <v>2425544.94</v>
      </c>
      <c r="D27" s="2002">
        <v>0</v>
      </c>
      <c r="E27" s="2002">
        <f>E14+E21-E23-E25</f>
        <v>192468</v>
      </c>
      <c r="F27" s="2002">
        <f>F14+F21-F23-F25</f>
        <v>120275</v>
      </c>
      <c r="G27" s="2002">
        <f>G14-G23</f>
        <v>71900</v>
      </c>
      <c r="H27" s="2002">
        <f>H14+H21-H23-H25</f>
        <v>132740</v>
      </c>
      <c r="I27" s="2002">
        <f>I14+I21-I23-I25</f>
        <v>145371</v>
      </c>
      <c r="J27" s="2002">
        <f>SUM(E27:I27)</f>
        <v>662754</v>
      </c>
      <c r="K27" s="2002">
        <f>C27+D27+J27</f>
        <v>3088298.94</v>
      </c>
    </row>
    <row r="28" spans="1:14" s="2000" customFormat="1" ht="36" customHeight="1" x14ac:dyDescent="0.35">
      <c r="A28" s="2001" t="s">
        <v>1159</v>
      </c>
      <c r="B28" s="2002">
        <f>K27+K25</f>
        <v>3332357.4299999997</v>
      </c>
      <c r="C28" s="2002">
        <f t="shared" ref="C28:I28" si="11">-C27</f>
        <v>-2425544.94</v>
      </c>
      <c r="D28" s="2002">
        <f t="shared" si="11"/>
        <v>0</v>
      </c>
      <c r="E28" s="2002">
        <f t="shared" si="11"/>
        <v>-192468</v>
      </c>
      <c r="F28" s="2002">
        <f t="shared" si="11"/>
        <v>-120275</v>
      </c>
      <c r="G28" s="2002">
        <f t="shared" si="11"/>
        <v>-71900</v>
      </c>
      <c r="H28" s="2002">
        <f t="shared" si="11"/>
        <v>-132740</v>
      </c>
      <c r="I28" s="2002">
        <f t="shared" si="11"/>
        <v>-145371</v>
      </c>
      <c r="J28" s="2002">
        <f>SUM(E28:I28)</f>
        <v>-662754</v>
      </c>
      <c r="K28" s="2002">
        <f>C28+D28+J28</f>
        <v>-3088298.94</v>
      </c>
    </row>
    <row r="29" spans="1:14" s="2000" customFormat="1" ht="36" customHeight="1" x14ac:dyDescent="0.35">
      <c r="A29" s="2003" t="s">
        <v>1559</v>
      </c>
      <c r="B29" s="2004">
        <f>B24+B26+B28</f>
        <v>159215706.43000001</v>
      </c>
      <c r="C29" s="2004">
        <f t="shared" ref="C29:I29" si="12">C24+C26-C27</f>
        <v>0</v>
      </c>
      <c r="D29" s="2004">
        <f t="shared" si="12"/>
        <v>25660835</v>
      </c>
      <c r="E29" s="2004">
        <f t="shared" si="12"/>
        <v>0</v>
      </c>
      <c r="F29" s="2004">
        <f t="shared" si="12"/>
        <v>0</v>
      </c>
      <c r="G29" s="2004">
        <f t="shared" si="12"/>
        <v>42157.570000000007</v>
      </c>
      <c r="H29" s="2004">
        <f t="shared" si="12"/>
        <v>0</v>
      </c>
      <c r="I29" s="2004">
        <f t="shared" si="12"/>
        <v>0</v>
      </c>
      <c r="J29" s="2004">
        <f>J24+J26-J27</f>
        <v>42157.569999999949</v>
      </c>
      <c r="K29" s="2004">
        <f>SUM(K24:K28)</f>
        <v>184918699</v>
      </c>
      <c r="L29" s="2286"/>
    </row>
    <row r="30" spans="1:14" ht="36" customHeight="1" x14ac:dyDescent="0.5">
      <c r="A30" s="2540" t="str">
        <f>A1</f>
        <v>Pilisvörösvár Város Önkormányzata Képviselő-testületének 7/2018. (IV. 27.) önkormányzati rendelete</v>
      </c>
      <c r="B30" s="2541"/>
      <c r="C30" s="2541"/>
      <c r="D30" s="2541"/>
      <c r="E30" s="2542"/>
      <c r="F30" s="2542"/>
      <c r="G30" s="2542"/>
      <c r="H30" s="2542"/>
      <c r="I30" s="2542"/>
      <c r="J30" s="2542"/>
      <c r="K30" s="2403"/>
      <c r="L30" s="2286"/>
    </row>
    <row r="31" spans="1:14" ht="36" customHeight="1" x14ac:dyDescent="0.5">
      <c r="A31" s="2540" t="str">
        <f t="shared" ref="A31:A32" si="13">A2</f>
        <v>az Önkormányzat  2017. évi zárszámadásáról</v>
      </c>
      <c r="B31" s="2541"/>
      <c r="C31" s="2541"/>
      <c r="D31" s="2541"/>
      <c r="E31" s="2542"/>
      <c r="F31" s="2542"/>
      <c r="G31" s="2542"/>
      <c r="H31" s="2542"/>
      <c r="I31" s="2542"/>
      <c r="J31" s="2542"/>
      <c r="K31" s="2403"/>
      <c r="L31" s="2286"/>
      <c r="M31" s="2286"/>
    </row>
    <row r="32" spans="1:14" ht="36" customHeight="1" x14ac:dyDescent="0.5">
      <c r="A32" s="2540" t="str">
        <f t="shared" si="13"/>
        <v>Egyszerűsített pénzmaradvány kimutatás</v>
      </c>
      <c r="B32" s="2541"/>
      <c r="C32" s="2541"/>
      <c r="D32" s="2541"/>
      <c r="E32" s="2542"/>
      <c r="F32" s="2542"/>
      <c r="G32" s="2542"/>
      <c r="H32" s="2542"/>
      <c r="I32" s="2542"/>
      <c r="J32" s="2542"/>
      <c r="K32" s="2403"/>
    </row>
    <row r="33" spans="1:13" ht="36" customHeight="1" x14ac:dyDescent="0.45">
      <c r="A33" s="1987"/>
      <c r="B33" s="1988"/>
      <c r="C33" s="1988"/>
      <c r="D33" s="1988"/>
      <c r="E33" s="2007"/>
      <c r="F33" s="2007"/>
      <c r="G33" s="2007"/>
      <c r="H33" s="2007"/>
      <c r="I33" s="2007"/>
      <c r="J33" s="2008"/>
      <c r="K33" s="1312" t="s">
        <v>1160</v>
      </c>
    </row>
    <row r="34" spans="1:13" ht="36" customHeight="1" x14ac:dyDescent="0.45">
      <c r="A34" s="2545" t="s">
        <v>1161</v>
      </c>
      <c r="B34" s="2546"/>
      <c r="C34" s="2546"/>
      <c r="D34" s="2546"/>
      <c r="E34" s="2546"/>
      <c r="F34" s="2546"/>
      <c r="G34" s="2546"/>
      <c r="H34" s="2546"/>
      <c r="I34" s="2546"/>
      <c r="J34" s="2546"/>
      <c r="K34" s="2009"/>
    </row>
    <row r="35" spans="1:13" ht="31.5" thickBot="1" x14ac:dyDescent="0.5">
      <c r="A35" s="2010"/>
      <c r="B35" s="2011"/>
      <c r="C35" s="2012"/>
      <c r="D35" s="2012"/>
      <c r="E35" s="2012"/>
      <c r="F35" s="2012"/>
      <c r="G35" s="2012"/>
      <c r="H35" s="2012"/>
      <c r="I35" s="2012"/>
      <c r="J35" s="2013" t="s">
        <v>323</v>
      </c>
      <c r="K35" s="1990"/>
    </row>
    <row r="36" spans="1:13" ht="102" customHeight="1" thickBot="1" x14ac:dyDescent="0.3">
      <c r="A36" s="2547" t="s">
        <v>359</v>
      </c>
      <c r="B36" s="2548"/>
      <c r="C36" s="2548"/>
      <c r="D36" s="2548"/>
      <c r="E36" s="2548"/>
      <c r="F36" s="2548"/>
      <c r="G36" s="2548"/>
      <c r="H36" s="2548"/>
      <c r="I36" s="2014" t="s">
        <v>1175</v>
      </c>
      <c r="J36" s="2015" t="s">
        <v>1176</v>
      </c>
    </row>
    <row r="37" spans="1:13" ht="32.25" customHeight="1" x14ac:dyDescent="0.4">
      <c r="A37" s="2549" t="s">
        <v>1162</v>
      </c>
      <c r="B37" s="2550"/>
      <c r="C37" s="2550"/>
      <c r="D37" s="2550"/>
      <c r="E37" s="2550"/>
      <c r="F37" s="2550"/>
      <c r="G37" s="2550"/>
      <c r="H37" s="2550"/>
      <c r="I37" s="2016">
        <f>(I38+I44)</f>
        <v>217805</v>
      </c>
      <c r="J37" s="2017">
        <f>J38+J44</f>
        <v>207182</v>
      </c>
      <c r="K37" s="2018"/>
      <c r="L37" s="2018"/>
      <c r="M37" s="2018"/>
    </row>
    <row r="38" spans="1:13" ht="32.25" customHeight="1" x14ac:dyDescent="0.4">
      <c r="A38" s="2551" t="s">
        <v>1163</v>
      </c>
      <c r="B38" s="2552"/>
      <c r="C38" s="2552"/>
      <c r="D38" s="2552"/>
      <c r="E38" s="2552"/>
      <c r="F38" s="2552"/>
      <c r="G38" s="2552"/>
      <c r="H38" s="2552"/>
      <c r="I38" s="2019">
        <f>SUM(I39:I43)</f>
        <v>43567</v>
      </c>
      <c r="J38" s="2020">
        <f>SUM(J39:J43)</f>
        <v>41809</v>
      </c>
      <c r="L38" s="2021"/>
      <c r="M38" s="2018"/>
    </row>
    <row r="39" spans="1:13" ht="32.25" customHeight="1" x14ac:dyDescent="0.4">
      <c r="A39" s="2543" t="s">
        <v>1164</v>
      </c>
      <c r="B39" s="2544"/>
      <c r="C39" s="2544"/>
      <c r="D39" s="2544"/>
      <c r="E39" s="2544"/>
      <c r="F39" s="2544"/>
      <c r="G39" s="2544"/>
      <c r="H39" s="2544"/>
      <c r="I39" s="2022">
        <v>21436</v>
      </c>
      <c r="J39" s="2023">
        <v>21436</v>
      </c>
      <c r="L39" s="2021"/>
      <c r="M39" s="2018"/>
    </row>
    <row r="40" spans="1:13" ht="32.25" customHeight="1" x14ac:dyDescent="0.4">
      <c r="A40" s="2543" t="s">
        <v>1165</v>
      </c>
      <c r="B40" s="2544"/>
      <c r="C40" s="2544"/>
      <c r="D40" s="2544"/>
      <c r="E40" s="2544"/>
      <c r="F40" s="2544"/>
      <c r="G40" s="2544"/>
      <c r="H40" s="2544"/>
      <c r="I40" s="2022">
        <v>0</v>
      </c>
      <c r="J40" s="2023">
        <v>0</v>
      </c>
      <c r="K40" s="2018"/>
      <c r="L40" s="2021"/>
      <c r="M40" s="2018"/>
    </row>
    <row r="41" spans="1:13" ht="32.25" customHeight="1" x14ac:dyDescent="0.5">
      <c r="A41" s="2543" t="s">
        <v>1166</v>
      </c>
      <c r="B41" s="2544"/>
      <c r="C41" s="2544"/>
      <c r="D41" s="2544"/>
      <c r="E41" s="2544"/>
      <c r="F41" s="2544"/>
      <c r="G41" s="2544"/>
      <c r="H41" s="2544"/>
      <c r="I41" s="2022">
        <f>20373</f>
        <v>20373</v>
      </c>
      <c r="J41" s="2023">
        <v>20373</v>
      </c>
      <c r="K41" s="2024"/>
      <c r="M41" s="2018"/>
    </row>
    <row r="42" spans="1:13" ht="32.25" customHeight="1" x14ac:dyDescent="0.5">
      <c r="A42" s="2543" t="s">
        <v>1564</v>
      </c>
      <c r="B42" s="2544"/>
      <c r="C42" s="2544"/>
      <c r="D42" s="2544"/>
      <c r="E42" s="2544"/>
      <c r="F42" s="2544"/>
      <c r="G42" s="2544"/>
      <c r="H42" s="2544"/>
      <c r="I42" s="2022">
        <v>1758</v>
      </c>
      <c r="J42" s="2023"/>
      <c r="K42" s="2024"/>
      <c r="M42" s="2018"/>
    </row>
    <row r="43" spans="1:13" ht="32.25" customHeight="1" x14ac:dyDescent="0.5">
      <c r="A43" s="2543" t="s">
        <v>1167</v>
      </c>
      <c r="B43" s="2544"/>
      <c r="C43" s="2544"/>
      <c r="D43" s="2544"/>
      <c r="E43" s="2544"/>
      <c r="F43" s="2544"/>
      <c r="G43" s="2544"/>
      <c r="H43" s="2544"/>
      <c r="I43" s="2022"/>
      <c r="J43" s="2023">
        <v>0</v>
      </c>
      <c r="K43" s="2024"/>
      <c r="M43" s="2018"/>
    </row>
    <row r="44" spans="1:13" ht="32.25" customHeight="1" x14ac:dyDescent="0.4">
      <c r="A44" s="2551" t="s">
        <v>1560</v>
      </c>
      <c r="B44" s="2552"/>
      <c r="C44" s="2552"/>
      <c r="D44" s="2552"/>
      <c r="E44" s="2552"/>
      <c r="F44" s="2552"/>
      <c r="G44" s="2552"/>
      <c r="H44" s="2552"/>
      <c r="I44" s="2019">
        <f>SUM(I45:I49)</f>
        <v>174238</v>
      </c>
      <c r="J44" s="2020">
        <f>SUM(J45:J49)</f>
        <v>165373</v>
      </c>
    </row>
    <row r="45" spans="1:13" ht="32.25" customHeight="1" x14ac:dyDescent="0.35">
      <c r="A45" s="2543" t="s">
        <v>1168</v>
      </c>
      <c r="B45" s="2544"/>
      <c r="C45" s="2544"/>
      <c r="D45" s="2544"/>
      <c r="E45" s="2544"/>
      <c r="F45" s="2544"/>
      <c r="G45" s="2544"/>
      <c r="H45" s="2544"/>
      <c r="I45" s="2022"/>
      <c r="J45" s="2025"/>
    </row>
    <row r="46" spans="1:13" ht="32.25" customHeight="1" x14ac:dyDescent="0.35">
      <c r="A46" s="2543" t="s">
        <v>1169</v>
      </c>
      <c r="B46" s="2544"/>
      <c r="C46" s="2544"/>
      <c r="D46" s="2544"/>
      <c r="E46" s="2544"/>
      <c r="F46" s="2544"/>
      <c r="G46" s="2544"/>
      <c r="H46" s="2544"/>
      <c r="I46" s="2022"/>
      <c r="J46" s="2025"/>
    </row>
    <row r="47" spans="1:13" ht="32.25" customHeight="1" x14ac:dyDescent="0.35">
      <c r="A47" s="2543" t="s">
        <v>1170</v>
      </c>
      <c r="B47" s="2544"/>
      <c r="C47" s="2544"/>
      <c r="D47" s="2544"/>
      <c r="E47" s="2544"/>
      <c r="F47" s="2544"/>
      <c r="G47" s="2544"/>
      <c r="H47" s="2544"/>
      <c r="I47" s="2022">
        <v>85373</v>
      </c>
      <c r="J47" s="2025">
        <v>85373</v>
      </c>
      <c r="K47" s="2018"/>
    </row>
    <row r="48" spans="1:13" ht="32.25" customHeight="1" x14ac:dyDescent="0.35">
      <c r="A48" s="2543" t="s">
        <v>1171</v>
      </c>
      <c r="B48" s="2544"/>
      <c r="C48" s="2544"/>
      <c r="D48" s="2544"/>
      <c r="E48" s="2544"/>
      <c r="F48" s="2544"/>
      <c r="G48" s="2544"/>
      <c r="H48" s="2544"/>
      <c r="I48" s="2022">
        <f>80000+888</f>
        <v>80888</v>
      </c>
      <c r="J48" s="2025">
        <v>80000</v>
      </c>
      <c r="K48" s="2018"/>
    </row>
    <row r="49" spans="1:11" ht="32.25" customHeight="1" x14ac:dyDescent="0.35">
      <c r="A49" s="2543" t="s">
        <v>1172</v>
      </c>
      <c r="B49" s="2544"/>
      <c r="C49" s="2544"/>
      <c r="D49" s="2544"/>
      <c r="E49" s="2544"/>
      <c r="F49" s="2544"/>
      <c r="G49" s="2544"/>
      <c r="H49" s="2544"/>
      <c r="I49" s="2026">
        <f>10623-1758-888</f>
        <v>7977</v>
      </c>
      <c r="J49" s="2027">
        <v>0</v>
      </c>
      <c r="K49" s="2018"/>
    </row>
    <row r="50" spans="1:11" ht="32.25" customHeight="1" x14ac:dyDescent="0.35">
      <c r="A50" s="2296"/>
      <c r="B50" s="2297"/>
      <c r="C50" s="2297"/>
      <c r="D50" s="2297"/>
      <c r="E50" s="2297"/>
      <c r="F50" s="2297"/>
      <c r="G50" s="2297"/>
      <c r="H50" s="2297"/>
      <c r="I50" s="2026"/>
      <c r="J50" s="2027"/>
      <c r="K50" s="2018"/>
    </row>
    <row r="51" spans="1:11" ht="32.25" customHeight="1" x14ac:dyDescent="0.4">
      <c r="A51" s="2557" t="s">
        <v>1173</v>
      </c>
      <c r="B51" s="2558"/>
      <c r="C51" s="2558"/>
      <c r="D51" s="2558"/>
      <c r="E51" s="2558"/>
      <c r="F51" s="2558"/>
      <c r="G51" s="2558"/>
      <c r="H51" s="2558"/>
      <c r="I51" s="2028">
        <f>(C23+D23+J23)/1000</f>
        <v>506.565</v>
      </c>
      <c r="J51" s="2029">
        <v>0</v>
      </c>
    </row>
    <row r="52" spans="1:11" ht="32.25" customHeight="1" x14ac:dyDescent="0.4">
      <c r="A52" s="2557" t="s">
        <v>1174</v>
      </c>
      <c r="B52" s="2558"/>
      <c r="C52" s="2558"/>
      <c r="D52" s="2558"/>
      <c r="E52" s="2558"/>
      <c r="F52" s="2558"/>
      <c r="G52" s="2558"/>
      <c r="H52" s="2558"/>
      <c r="I52" s="2030">
        <f>(D29+G29)/1000</f>
        <v>25702.992569999999</v>
      </c>
      <c r="J52" s="2031">
        <v>0</v>
      </c>
    </row>
    <row r="53" spans="1:11" ht="32.25" customHeight="1" x14ac:dyDescent="0.4">
      <c r="A53" s="2555" t="s">
        <v>1565</v>
      </c>
      <c r="B53" s="2556"/>
      <c r="C53" s="2556"/>
      <c r="D53" s="2556"/>
      <c r="E53" s="2556"/>
      <c r="F53" s="2556"/>
      <c r="G53" s="2556"/>
      <c r="H53" s="2556"/>
      <c r="I53" s="2032">
        <f>K27/1000</f>
        <v>3088.2989400000001</v>
      </c>
      <c r="J53" s="2287"/>
    </row>
    <row r="54" spans="1:11" ht="32.25" customHeight="1" thickBot="1" x14ac:dyDescent="0.45">
      <c r="A54" s="2555" t="s">
        <v>1566</v>
      </c>
      <c r="B54" s="2556"/>
      <c r="C54" s="2556"/>
      <c r="D54" s="2556"/>
      <c r="E54" s="2556"/>
      <c r="F54" s="2556"/>
      <c r="G54" s="2556"/>
      <c r="H54" s="2556"/>
      <c r="I54" s="2294">
        <f>K25/1000</f>
        <v>244.05848999999998</v>
      </c>
      <c r="J54" s="2295"/>
    </row>
    <row r="55" spans="1:11" ht="36" customHeight="1" x14ac:dyDescent="0.4">
      <c r="A55" s="2559" t="s">
        <v>1567</v>
      </c>
      <c r="B55" s="2560"/>
      <c r="C55" s="2560"/>
      <c r="D55" s="2560"/>
      <c r="E55" s="2560"/>
      <c r="F55" s="2560"/>
      <c r="G55" s="2560"/>
      <c r="H55" s="2560"/>
      <c r="I55" s="2293">
        <f>SUM(I51:I54)</f>
        <v>29541.914999999997</v>
      </c>
      <c r="J55" s="2289"/>
    </row>
    <row r="56" spans="1:11" ht="36" customHeight="1" x14ac:dyDescent="0.35">
      <c r="A56" s="2283"/>
      <c r="B56" s="2284"/>
      <c r="C56" s="2284"/>
      <c r="D56" s="2284"/>
      <c r="E56" s="2284"/>
      <c r="F56" s="2284"/>
      <c r="G56" s="2284"/>
      <c r="H56" s="2284"/>
      <c r="I56" s="2291"/>
      <c r="J56" s="2292"/>
    </row>
    <row r="57" spans="1:11" ht="36" customHeight="1" x14ac:dyDescent="0.4">
      <c r="A57" s="2551" t="s">
        <v>1561</v>
      </c>
      <c r="B57" s="2552"/>
      <c r="C57" s="2552"/>
      <c r="D57" s="2552"/>
      <c r="E57" s="2552"/>
      <c r="F57" s="2552"/>
      <c r="G57" s="2552"/>
      <c r="H57" s="2552"/>
      <c r="I57" s="2032">
        <f>I38+I47-I42</f>
        <v>127182</v>
      </c>
      <c r="J57" s="2287">
        <f>J38+J47</f>
        <v>127182</v>
      </c>
    </row>
    <row r="58" spans="1:11" s="2033" customFormat="1" ht="36" customHeight="1" x14ac:dyDescent="0.4">
      <c r="A58" s="2555" t="s">
        <v>1562</v>
      </c>
      <c r="B58" s="2556"/>
      <c r="C58" s="2556"/>
      <c r="D58" s="2556"/>
      <c r="E58" s="2556"/>
      <c r="F58" s="2556"/>
      <c r="G58" s="2556"/>
      <c r="H58" s="2556"/>
      <c r="I58" s="2032">
        <f>(B29)/1000-68593</f>
        <v>90622.70643000002</v>
      </c>
      <c r="J58" s="2287">
        <f>J48</f>
        <v>80000</v>
      </c>
    </row>
    <row r="59" spans="1:11" ht="36" customHeight="1" thickBot="1" x14ac:dyDescent="0.45">
      <c r="A59" s="2553" t="s">
        <v>1563</v>
      </c>
      <c r="B59" s="2554"/>
      <c r="C59" s="2554"/>
      <c r="D59" s="2554"/>
      <c r="E59" s="2554"/>
      <c r="F59" s="2554"/>
      <c r="G59" s="2554"/>
      <c r="H59" s="2554"/>
      <c r="I59" s="2288">
        <f>SUM(I57:I58)</f>
        <v>217804.70643000002</v>
      </c>
      <c r="J59" s="2290">
        <f>SUM(J57:J58)</f>
        <v>207182</v>
      </c>
      <c r="K59" s="2034"/>
    </row>
    <row r="60" spans="1:11" ht="36" customHeight="1" x14ac:dyDescent="0.3">
      <c r="A60" s="2035"/>
      <c r="B60" s="2036"/>
      <c r="C60" s="2037"/>
      <c r="D60" s="2038"/>
      <c r="E60" s="2038"/>
      <c r="F60" s="2038"/>
      <c r="G60" s="2038"/>
      <c r="I60" s="2034"/>
      <c r="J60" s="2034"/>
    </row>
    <row r="61" spans="1:11" ht="36" customHeight="1" x14ac:dyDescent="0.3">
      <c r="A61" s="2035"/>
      <c r="B61" s="2039"/>
      <c r="C61" s="2038"/>
      <c r="D61" s="2038"/>
      <c r="E61" s="2038"/>
      <c r="F61" s="2038"/>
      <c r="G61" s="2038"/>
      <c r="J61" s="2034"/>
    </row>
    <row r="62" spans="1:11" ht="36" customHeight="1" x14ac:dyDescent="0.3">
      <c r="A62" s="2035"/>
      <c r="B62" s="2036"/>
      <c r="C62" s="2037"/>
      <c r="D62" s="2038"/>
      <c r="E62" s="2038"/>
      <c r="F62" s="2038"/>
      <c r="G62" s="2038"/>
      <c r="J62" s="2034"/>
      <c r="K62" s="2034"/>
    </row>
    <row r="63" spans="1:11" ht="36" customHeight="1" x14ac:dyDescent="0.3">
      <c r="A63" s="2035"/>
      <c r="B63" s="2040"/>
      <c r="C63" s="2038"/>
      <c r="D63" s="2037"/>
      <c r="E63" s="2038"/>
      <c r="F63" s="2038"/>
      <c r="G63" s="2038"/>
      <c r="J63" s="2034"/>
      <c r="K63" s="2034"/>
    </row>
    <row r="64" spans="1:11" ht="36" customHeight="1" x14ac:dyDescent="0.3">
      <c r="A64" s="2035"/>
      <c r="B64" s="2039"/>
      <c r="C64" s="2037"/>
      <c r="D64" s="2038"/>
      <c r="E64" s="2038"/>
      <c r="F64" s="2038"/>
      <c r="G64" s="2038"/>
      <c r="J64" s="2034"/>
    </row>
    <row r="65" spans="1:10" ht="36" customHeight="1" x14ac:dyDescent="0.3">
      <c r="A65" s="2035"/>
      <c r="B65" s="2039"/>
      <c r="C65" s="2038"/>
      <c r="D65" s="2038"/>
      <c r="E65" s="2038"/>
      <c r="F65" s="2038"/>
      <c r="G65" s="2038"/>
      <c r="J65" s="2034"/>
    </row>
    <row r="66" spans="1:10" ht="36" customHeight="1" x14ac:dyDescent="0.3">
      <c r="A66" s="2035"/>
      <c r="B66" s="2039"/>
      <c r="C66" s="2037"/>
      <c r="D66" s="2038"/>
      <c r="E66" s="2038"/>
      <c r="F66" s="2038"/>
      <c r="G66" s="2038"/>
      <c r="J66" s="2034"/>
    </row>
    <row r="67" spans="1:10" ht="36" customHeight="1" x14ac:dyDescent="0.3">
      <c r="A67" s="2035"/>
      <c r="B67" s="2040"/>
      <c r="C67" s="2038"/>
      <c r="D67" s="2038"/>
      <c r="E67" s="2038"/>
      <c r="F67" s="2038"/>
      <c r="G67" s="2038"/>
    </row>
    <row r="68" spans="1:10" ht="36" customHeight="1" x14ac:dyDescent="0.3">
      <c r="A68" s="2035"/>
      <c r="B68" s="2040"/>
      <c r="C68" s="2037"/>
      <c r="D68" s="2038"/>
      <c r="E68" s="2038"/>
      <c r="F68" s="2038"/>
      <c r="G68" s="2038"/>
    </row>
    <row r="69" spans="1:10" ht="36" customHeight="1" x14ac:dyDescent="0.3">
      <c r="A69" s="2035"/>
      <c r="B69" s="2040"/>
      <c r="C69" s="2037"/>
      <c r="D69" s="2038"/>
      <c r="E69" s="2038"/>
      <c r="F69" s="2038"/>
      <c r="G69" s="2038"/>
    </row>
    <row r="70" spans="1:10" ht="36" customHeight="1" x14ac:dyDescent="0.25">
      <c r="A70" s="1313"/>
      <c r="B70" s="1314"/>
      <c r="C70" s="1314"/>
      <c r="D70" s="2038"/>
      <c r="E70" s="2038"/>
      <c r="F70" s="2038"/>
      <c r="G70" s="2038"/>
    </row>
    <row r="71" spans="1:10" ht="36" customHeight="1" x14ac:dyDescent="0.25">
      <c r="A71" s="1313"/>
      <c r="B71" s="1314"/>
      <c r="C71" s="1314"/>
      <c r="D71" s="2038"/>
      <c r="E71" s="2038"/>
      <c r="F71" s="2037"/>
      <c r="G71" s="2038"/>
    </row>
    <row r="72" spans="1:10" ht="18.75" x14ac:dyDescent="0.25">
      <c r="A72" s="1313"/>
      <c r="B72" s="1314"/>
      <c r="C72" s="1314"/>
      <c r="D72" s="2038"/>
      <c r="E72" s="2038"/>
      <c r="F72" s="2037"/>
      <c r="G72" s="2038"/>
    </row>
    <row r="73" spans="1:10" ht="18.75" x14ac:dyDescent="0.25">
      <c r="A73" s="1313"/>
      <c r="B73" s="1314"/>
      <c r="C73" s="1314"/>
      <c r="D73" s="2038"/>
      <c r="E73" s="2038"/>
      <c r="F73" s="2037"/>
      <c r="G73" s="2038"/>
    </row>
    <row r="74" spans="1:10" ht="18.75" x14ac:dyDescent="0.25">
      <c r="A74" s="1313"/>
      <c r="B74" s="1314"/>
      <c r="C74" s="1314"/>
      <c r="D74" s="2038"/>
      <c r="E74" s="2038"/>
      <c r="F74" s="2037"/>
      <c r="G74" s="2038"/>
    </row>
    <row r="75" spans="1:10" ht="18.75" x14ac:dyDescent="0.25">
      <c r="A75" s="1313"/>
      <c r="B75" s="1314"/>
      <c r="C75" s="1314"/>
      <c r="D75" s="2038"/>
      <c r="E75" s="2038"/>
      <c r="F75" s="2037"/>
      <c r="G75" s="2038"/>
    </row>
    <row r="76" spans="1:10" ht="18.75" x14ac:dyDescent="0.25">
      <c r="A76" s="1313"/>
      <c r="B76" s="1314"/>
      <c r="C76" s="1314"/>
      <c r="D76" s="2038"/>
      <c r="E76" s="2038"/>
      <c r="F76" s="2037"/>
      <c r="G76" s="2038"/>
    </row>
    <row r="77" spans="1:10" ht="18.75" x14ac:dyDescent="0.25">
      <c r="A77" s="1313"/>
      <c r="B77" s="1314"/>
      <c r="C77" s="1314"/>
      <c r="D77" s="2038"/>
      <c r="E77" s="2038"/>
      <c r="F77" s="2037"/>
      <c r="G77" s="2038"/>
    </row>
    <row r="78" spans="1:10" ht="18.75" x14ac:dyDescent="0.25">
      <c r="A78" s="1313"/>
      <c r="B78" s="1314"/>
      <c r="C78" s="1314"/>
      <c r="D78" s="2038"/>
      <c r="E78" s="2038"/>
      <c r="F78" s="2038"/>
      <c r="G78" s="2038"/>
    </row>
    <row r="79" spans="1:10" ht="18.75" x14ac:dyDescent="0.25">
      <c r="A79" s="1315"/>
      <c r="B79" s="1314"/>
      <c r="C79" s="1314"/>
      <c r="D79" s="2038"/>
      <c r="E79" s="2038"/>
      <c r="F79" s="2038"/>
      <c r="G79" s="2038"/>
    </row>
    <row r="80" spans="1:10" ht="18.75" x14ac:dyDescent="0.25">
      <c r="A80" s="1315"/>
      <c r="B80" s="1314"/>
      <c r="C80" s="1314"/>
      <c r="D80" s="2038"/>
      <c r="E80" s="2038"/>
      <c r="F80" s="2038"/>
      <c r="G80" s="2038"/>
    </row>
    <row r="81" spans="1:7" ht="18.75" x14ac:dyDescent="0.25">
      <c r="A81" s="1315"/>
      <c r="B81" s="1314"/>
      <c r="C81" s="1314"/>
      <c r="D81" s="2038"/>
      <c r="E81" s="2038"/>
      <c r="F81" s="2038"/>
      <c r="G81" s="2038"/>
    </row>
    <row r="82" spans="1:7" ht="18.75" x14ac:dyDescent="0.25">
      <c r="A82" s="1315"/>
      <c r="B82" s="1314"/>
      <c r="C82" s="1314"/>
      <c r="D82" s="2038"/>
      <c r="E82" s="2038"/>
      <c r="F82" s="2038"/>
      <c r="G82" s="2038"/>
    </row>
    <row r="83" spans="1:7" ht="18.75" x14ac:dyDescent="0.25">
      <c r="A83" s="1315"/>
      <c r="B83" s="1314"/>
      <c r="C83" s="1314"/>
      <c r="D83" s="2038"/>
      <c r="E83" s="2038"/>
      <c r="F83" s="2038"/>
      <c r="G83" s="2038"/>
    </row>
    <row r="84" spans="1:7" x14ac:dyDescent="0.25">
      <c r="A84" s="2041"/>
      <c r="B84" s="2038"/>
      <c r="C84" s="2038"/>
      <c r="D84" s="2038"/>
      <c r="E84" s="2038"/>
      <c r="F84" s="2038"/>
      <c r="G84" s="2038"/>
    </row>
    <row r="85" spans="1:7" x14ac:dyDescent="0.25">
      <c r="A85" s="2041"/>
      <c r="B85" s="2038"/>
      <c r="C85" s="2038"/>
      <c r="D85" s="2038"/>
      <c r="E85" s="2038"/>
      <c r="F85" s="2038"/>
      <c r="G85" s="2038"/>
    </row>
    <row r="86" spans="1:7" x14ac:dyDescent="0.25">
      <c r="A86" s="2041"/>
      <c r="B86" s="2038"/>
      <c r="C86" s="2038"/>
      <c r="D86" s="2038"/>
      <c r="E86" s="2038"/>
      <c r="F86" s="2038"/>
      <c r="G86" s="2038"/>
    </row>
    <row r="87" spans="1:7" x14ac:dyDescent="0.25">
      <c r="A87" s="2041"/>
      <c r="B87" s="2038"/>
      <c r="C87" s="2038"/>
      <c r="D87" s="2038"/>
      <c r="E87" s="2038"/>
      <c r="F87" s="2038"/>
      <c r="G87" s="2038"/>
    </row>
    <row r="88" spans="1:7" x14ac:dyDescent="0.25">
      <c r="A88" s="2041"/>
      <c r="B88" s="2038"/>
      <c r="C88" s="2038"/>
      <c r="D88" s="2038"/>
      <c r="E88" s="2038"/>
      <c r="F88" s="2038"/>
      <c r="G88" s="2038"/>
    </row>
    <row r="89" spans="1:7" x14ac:dyDescent="0.25">
      <c r="A89" s="2041"/>
      <c r="B89" s="2038"/>
      <c r="C89" s="2038"/>
      <c r="D89" s="2038"/>
      <c r="E89" s="2038"/>
      <c r="F89" s="2038"/>
      <c r="G89" s="2038"/>
    </row>
    <row r="90" spans="1:7" x14ac:dyDescent="0.25">
      <c r="A90" s="2041"/>
      <c r="B90" s="2038"/>
      <c r="C90" s="2038"/>
      <c r="D90" s="2038"/>
      <c r="E90" s="2038"/>
      <c r="F90" s="2038"/>
      <c r="G90" s="2038"/>
    </row>
    <row r="91" spans="1:7" x14ac:dyDescent="0.25">
      <c r="A91" s="2041"/>
      <c r="B91" s="2038"/>
      <c r="C91" s="2038"/>
      <c r="D91" s="2038"/>
      <c r="E91" s="2038"/>
      <c r="F91" s="2038"/>
      <c r="G91" s="2038"/>
    </row>
    <row r="92" spans="1:7" x14ac:dyDescent="0.25">
      <c r="A92" s="2041"/>
      <c r="B92" s="2038"/>
      <c r="C92" s="2038"/>
      <c r="D92" s="2038"/>
      <c r="E92" s="2038"/>
      <c r="F92" s="2038"/>
      <c r="G92" s="2038"/>
    </row>
  </sheetData>
  <mergeCells count="29">
    <mergeCell ref="A59:H59"/>
    <mergeCell ref="A58:H58"/>
    <mergeCell ref="A48:H48"/>
    <mergeCell ref="A49:H49"/>
    <mergeCell ref="A51:H51"/>
    <mergeCell ref="A52:H52"/>
    <mergeCell ref="A55:H55"/>
    <mergeCell ref="A57:H57"/>
    <mergeCell ref="A53:H53"/>
    <mergeCell ref="A54:H54"/>
    <mergeCell ref="A47:H47"/>
    <mergeCell ref="A34:J34"/>
    <mergeCell ref="A36:H36"/>
    <mergeCell ref="A37:H37"/>
    <mergeCell ref="A38:H38"/>
    <mergeCell ref="A39:H39"/>
    <mergeCell ref="A40:H40"/>
    <mergeCell ref="A41:H41"/>
    <mergeCell ref="A43:H43"/>
    <mergeCell ref="A44:H44"/>
    <mergeCell ref="A45:H45"/>
    <mergeCell ref="A46:H46"/>
    <mergeCell ref="A42:H42"/>
    <mergeCell ref="A32:K32"/>
    <mergeCell ref="A1:K1"/>
    <mergeCell ref="A2:K2"/>
    <mergeCell ref="A3:K3"/>
    <mergeCell ref="A30:K30"/>
    <mergeCell ref="A31:K31"/>
  </mergeCells>
  <printOptions horizontalCentered="1"/>
  <pageMargins left="0.25" right="0.25" top="0.75" bottom="0.75" header="0.3" footer="0.3"/>
  <pageSetup paperSize="9" scale="39" fitToHeight="0" orientation="landscape" verticalDpi="300" r:id="rId1"/>
  <rowBreaks count="1" manualBreakCount="1">
    <brk id="29" max="10"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I34"/>
  <sheetViews>
    <sheetView view="pageBreakPreview" topLeftCell="A7" zoomScale="75" zoomScaleNormal="75" zoomScaleSheetLayoutView="75" workbookViewId="0">
      <selection activeCell="D13" sqref="D13"/>
    </sheetView>
  </sheetViews>
  <sheetFormatPr defaultRowHeight="20.25" x14ac:dyDescent="0.3"/>
  <cols>
    <col min="1" max="1" width="61" style="703" customWidth="1"/>
    <col min="2" max="2" width="24.140625" style="704" customWidth="1"/>
    <col min="3" max="3" width="28.28515625" style="706" customWidth="1"/>
    <col min="4" max="4" width="103.7109375" style="739" customWidth="1"/>
    <col min="5" max="5" width="13.85546875" style="163" customWidth="1"/>
    <col min="6" max="6" width="14.85546875" style="163" customWidth="1"/>
    <col min="7" max="7" width="12.85546875" style="163" customWidth="1"/>
    <col min="8" max="8" width="13.5703125" style="163" customWidth="1"/>
    <col min="9" max="9" width="20.7109375" style="163" customWidth="1"/>
    <col min="10" max="10" width="18" style="163" customWidth="1"/>
    <col min="11" max="16384" width="9.140625" style="163"/>
  </cols>
  <sheetData>
    <row r="1" spans="1:9" ht="35.25" customHeight="1" x14ac:dyDescent="0.3">
      <c r="A1" s="2561" t="str">
        <f>'29.sz.finansz.ütemterv'!A1:H1</f>
        <v>Pilisvörösvár Város Önkormányzata Képviselő-testületének 7/2018. (IV. 27.) önkormányzati rendelete</v>
      </c>
      <c r="B1" s="2561"/>
      <c r="C1" s="2561"/>
      <c r="D1" s="2561"/>
      <c r="E1" s="857"/>
      <c r="F1" s="857"/>
      <c r="G1" s="857"/>
      <c r="H1" s="857"/>
      <c r="I1" s="857"/>
    </row>
    <row r="2" spans="1:9" ht="28.5" customHeight="1" x14ac:dyDescent="0.3">
      <c r="A2" s="2561" t="str">
        <f>'29.sz.finansz.ütemterv'!A2:H2</f>
        <v>az Önkormányzat  2017. évi zárszámadásáról</v>
      </c>
      <c r="B2" s="2561"/>
      <c r="C2" s="2561"/>
      <c r="D2" s="2561"/>
      <c r="E2" s="858"/>
      <c r="F2" s="858"/>
      <c r="G2" s="858"/>
      <c r="H2" s="858"/>
      <c r="I2" s="858"/>
    </row>
    <row r="3" spans="1:9" ht="22.5" x14ac:dyDescent="0.3">
      <c r="A3" s="2561"/>
      <c r="B3" s="2561"/>
      <c r="C3" s="2561"/>
      <c r="D3" s="2561"/>
      <c r="E3" s="2561"/>
      <c r="F3" s="2561"/>
      <c r="G3" s="2561"/>
      <c r="H3" s="2561"/>
      <c r="I3" s="2561"/>
    </row>
    <row r="4" spans="1:9" ht="23.25" x14ac:dyDescent="0.35">
      <c r="A4" s="2562" t="str">
        <f>Tartalomjegyzék_2017!B38</f>
        <v>Pilisvörösvár Város Önkormányzata  intézményi normatíva kimutatás</v>
      </c>
      <c r="B4" s="2562"/>
      <c r="C4" s="2562"/>
      <c r="D4" s="2562"/>
      <c r="E4" s="859"/>
      <c r="F4" s="859"/>
      <c r="G4" s="859"/>
      <c r="H4" s="859"/>
      <c r="I4" s="859"/>
    </row>
    <row r="5" spans="1:9" ht="23.25" customHeight="1" x14ac:dyDescent="0.35">
      <c r="C5" s="705"/>
      <c r="D5" s="849" t="s">
        <v>22</v>
      </c>
    </row>
    <row r="6" spans="1:9" ht="21.75" customHeight="1" thickBot="1" x14ac:dyDescent="0.35">
      <c r="D6" s="850" t="s">
        <v>323</v>
      </c>
    </row>
    <row r="7" spans="1:9" ht="81" customHeight="1" thickBot="1" x14ac:dyDescent="0.4">
      <c r="A7" s="300" t="s">
        <v>697</v>
      </c>
      <c r="B7" s="301" t="s">
        <v>624</v>
      </c>
      <c r="C7" s="302" t="s">
        <v>625</v>
      </c>
      <c r="D7" s="303" t="s">
        <v>626</v>
      </c>
      <c r="F7" s="299"/>
    </row>
    <row r="8" spans="1:9" s="707" customFormat="1" ht="59.25" customHeight="1" x14ac:dyDescent="0.35">
      <c r="A8" s="1917" t="s">
        <v>973</v>
      </c>
      <c r="B8" s="1918"/>
      <c r="C8" s="1919">
        <v>0</v>
      </c>
      <c r="D8" s="1920" t="s">
        <v>698</v>
      </c>
      <c r="F8" s="708"/>
    </row>
    <row r="9" spans="1:9" s="707" customFormat="1" ht="105.75" customHeight="1" x14ac:dyDescent="0.35">
      <c r="A9" s="1917" t="s">
        <v>974</v>
      </c>
      <c r="B9" s="1918"/>
      <c r="C9" s="1919">
        <v>659</v>
      </c>
      <c r="D9" s="1921" t="s">
        <v>699</v>
      </c>
      <c r="F9" s="708"/>
    </row>
    <row r="10" spans="1:9" s="707" customFormat="1" ht="96" customHeight="1" x14ac:dyDescent="0.35">
      <c r="A10" s="1917" t="s">
        <v>975</v>
      </c>
      <c r="B10" s="1918"/>
      <c r="C10" s="1919">
        <v>21</v>
      </c>
      <c r="D10" s="1922" t="s">
        <v>953</v>
      </c>
      <c r="F10" s="708"/>
    </row>
    <row r="11" spans="1:9" s="707" customFormat="1" ht="67.5" customHeight="1" x14ac:dyDescent="0.3">
      <c r="A11" s="1917" t="s">
        <v>976</v>
      </c>
      <c r="B11" s="1918"/>
      <c r="C11" s="1919">
        <v>29190</v>
      </c>
      <c r="D11" s="1922" t="s">
        <v>954</v>
      </c>
    </row>
    <row r="12" spans="1:9" s="707" customFormat="1" ht="33.75" customHeight="1" x14ac:dyDescent="0.3">
      <c r="A12" s="1923" t="s">
        <v>700</v>
      </c>
      <c r="B12" s="1919">
        <f>87898+C12</f>
        <v>117768</v>
      </c>
      <c r="C12" s="1919">
        <f>SUM(C8:C11)</f>
        <v>29870</v>
      </c>
      <c r="D12" s="1924"/>
    </row>
    <row r="13" spans="1:9" s="709" customFormat="1" x14ac:dyDescent="0.3">
      <c r="A13" s="1925" t="s">
        <v>581</v>
      </c>
      <c r="B13" s="1919">
        <f>52368+C13</f>
        <v>52907</v>
      </c>
      <c r="C13" s="1919">
        <v>539</v>
      </c>
      <c r="D13" s="1924" t="s">
        <v>701</v>
      </c>
      <c r="E13" s="707"/>
      <c r="F13" s="707"/>
      <c r="G13" s="707"/>
      <c r="H13" s="707"/>
      <c r="I13" s="707"/>
    </row>
    <row r="14" spans="1:9" s="709" customFormat="1" x14ac:dyDescent="0.3">
      <c r="A14" s="1925" t="s">
        <v>955</v>
      </c>
      <c r="B14" s="1919">
        <f>516419+C14</f>
        <v>516419</v>
      </c>
      <c r="C14" s="1919">
        <v>0</v>
      </c>
      <c r="D14" s="1924" t="s">
        <v>956</v>
      </c>
      <c r="E14" s="707"/>
      <c r="F14" s="707"/>
      <c r="G14" s="707"/>
      <c r="H14" s="707"/>
      <c r="I14" s="707"/>
    </row>
    <row r="15" spans="1:9" s="707" customFormat="1" ht="36" customHeight="1" x14ac:dyDescent="0.3">
      <c r="A15" s="865" t="s">
        <v>702</v>
      </c>
      <c r="B15" s="710">
        <f>SUM(B11:B11)</f>
        <v>0</v>
      </c>
      <c r="C15" s="711">
        <f>C12+C13+C14</f>
        <v>30409</v>
      </c>
      <c r="D15" s="866"/>
      <c r="F15" s="709"/>
    </row>
    <row r="16" spans="1:9" ht="33.75" customHeight="1" thickBot="1" x14ac:dyDescent="0.35">
      <c r="A16" s="871"/>
      <c r="B16" s="872"/>
      <c r="C16" s="873"/>
      <c r="D16" s="874"/>
      <c r="E16" s="298"/>
      <c r="G16" s="298"/>
      <c r="H16" s="298"/>
      <c r="I16" s="298"/>
    </row>
    <row r="17" spans="1:4" ht="61.5" thickBot="1" x14ac:dyDescent="0.35">
      <c r="A17" s="300" t="s">
        <v>623</v>
      </c>
      <c r="B17" s="301" t="s">
        <v>624</v>
      </c>
      <c r="C17" s="302" t="s">
        <v>625</v>
      </c>
      <c r="D17" s="303" t="s">
        <v>626</v>
      </c>
    </row>
    <row r="18" spans="1:4" ht="41.25" customHeight="1" thickBot="1" x14ac:dyDescent="0.35">
      <c r="A18" s="712" t="s">
        <v>627</v>
      </c>
      <c r="B18" s="713">
        <v>0</v>
      </c>
      <c r="C18" s="714">
        <v>0</v>
      </c>
      <c r="D18" s="715"/>
    </row>
    <row r="19" spans="1:4" ht="33.75" customHeight="1" thickBot="1" x14ac:dyDescent="0.35">
      <c r="A19" s="871"/>
      <c r="B19" s="872"/>
      <c r="C19" s="873"/>
      <c r="D19" s="874"/>
    </row>
    <row r="20" spans="1:4" ht="72" customHeight="1" thickBot="1" x14ac:dyDescent="0.35">
      <c r="A20" s="300" t="s">
        <v>640</v>
      </c>
      <c r="B20" s="301" t="s">
        <v>624</v>
      </c>
      <c r="C20" s="302" t="s">
        <v>625</v>
      </c>
      <c r="D20" s="303" t="s">
        <v>626</v>
      </c>
    </row>
    <row r="21" spans="1:4" ht="33" customHeight="1" thickBot="1" x14ac:dyDescent="0.35">
      <c r="A21" s="712" t="s">
        <v>641</v>
      </c>
      <c r="B21" s="713">
        <v>0</v>
      </c>
      <c r="C21" s="714">
        <v>0</v>
      </c>
      <c r="D21" s="716"/>
    </row>
    <row r="22" spans="1:4" ht="33.75" customHeight="1" thickBot="1" x14ac:dyDescent="0.35">
      <c r="A22" s="871"/>
      <c r="B22" s="872"/>
      <c r="C22" s="873"/>
      <c r="D22" s="874"/>
    </row>
    <row r="23" spans="1:4" ht="61.5" thickBot="1" x14ac:dyDescent="0.35">
      <c r="A23" s="717" t="s">
        <v>642</v>
      </c>
      <c r="B23" s="301" t="s">
        <v>624</v>
      </c>
      <c r="C23" s="302" t="s">
        <v>643</v>
      </c>
      <c r="D23" s="303" t="s">
        <v>626</v>
      </c>
    </row>
    <row r="24" spans="1:4" ht="33.75" customHeight="1" x14ac:dyDescent="0.3">
      <c r="A24" s="718" t="s">
        <v>609</v>
      </c>
      <c r="B24" s="719"/>
      <c r="C24" s="720">
        <v>8</v>
      </c>
      <c r="D24" s="721" t="s">
        <v>644</v>
      </c>
    </row>
    <row r="25" spans="1:4" ht="33.75" customHeight="1" x14ac:dyDescent="0.3">
      <c r="A25" s="722" t="s">
        <v>94</v>
      </c>
      <c r="B25" s="723"/>
      <c r="C25" s="724">
        <v>4</v>
      </c>
      <c r="D25" s="725" t="s">
        <v>645</v>
      </c>
    </row>
    <row r="26" spans="1:4" ht="33.75" customHeight="1" x14ac:dyDescent="0.3">
      <c r="A26" s="726" t="s">
        <v>566</v>
      </c>
      <c r="B26" s="727"/>
      <c r="C26" s="728">
        <v>2710</v>
      </c>
      <c r="D26" s="729" t="s">
        <v>646</v>
      </c>
    </row>
    <row r="27" spans="1:4" ht="33.75" customHeight="1" x14ac:dyDescent="0.3">
      <c r="A27" s="726" t="s">
        <v>771</v>
      </c>
      <c r="B27" s="727"/>
      <c r="C27" s="728">
        <v>0</v>
      </c>
      <c r="D27" s="729"/>
    </row>
    <row r="28" spans="1:4" ht="32.25" customHeight="1" thickBot="1" x14ac:dyDescent="0.35">
      <c r="A28" s="712" t="s">
        <v>647</v>
      </c>
      <c r="B28" s="714">
        <f>SUM(B24:B27)</f>
        <v>0</v>
      </c>
      <c r="C28" s="714">
        <f>SUM(C24:C27)</f>
        <v>2722</v>
      </c>
      <c r="D28" s="716"/>
    </row>
    <row r="29" spans="1:4" ht="29.25" customHeight="1" thickBot="1" x14ac:dyDescent="0.35">
      <c r="A29" s="871"/>
      <c r="B29" s="872"/>
      <c r="C29" s="873"/>
      <c r="D29" s="874"/>
    </row>
    <row r="30" spans="1:4" ht="76.5" customHeight="1" thickBot="1" x14ac:dyDescent="0.35">
      <c r="A30" s="300" t="s">
        <v>648</v>
      </c>
      <c r="B30" s="301" t="s">
        <v>624</v>
      </c>
      <c r="C30" s="302" t="s">
        <v>625</v>
      </c>
      <c r="D30" s="303" t="s">
        <v>626</v>
      </c>
    </row>
    <row r="31" spans="1:4" ht="38.25" customHeight="1" thickBot="1" x14ac:dyDescent="0.35">
      <c r="A31" s="730" t="s">
        <v>649</v>
      </c>
      <c r="B31" s="731">
        <v>0</v>
      </c>
      <c r="C31" s="732">
        <v>0</v>
      </c>
      <c r="D31" s="733"/>
    </row>
    <row r="32" spans="1:4" ht="37.5" customHeight="1" thickBot="1" x14ac:dyDescent="0.35">
      <c r="A32" s="867" t="s">
        <v>456</v>
      </c>
      <c r="B32" s="868">
        <f>SUM(B18,B21,B28,B31)</f>
        <v>0</v>
      </c>
      <c r="C32" s="869">
        <f>C15+12*C28</f>
        <v>63073</v>
      </c>
      <c r="D32" s="870"/>
    </row>
    <row r="33" spans="1:4" x14ac:dyDescent="0.3">
      <c r="A33" s="734"/>
      <c r="B33" s="735"/>
      <c r="C33" s="736"/>
      <c r="D33" s="737"/>
    </row>
    <row r="34" spans="1:4" x14ac:dyDescent="0.3">
      <c r="A34" s="738"/>
      <c r="B34" s="735"/>
      <c r="C34" s="736"/>
      <c r="D34" s="737"/>
    </row>
  </sheetData>
  <mergeCells count="4">
    <mergeCell ref="A1:D1"/>
    <mergeCell ref="A2:D2"/>
    <mergeCell ref="A3:I3"/>
    <mergeCell ref="A4:D4"/>
  </mergeCells>
  <hyperlinks>
    <hyperlink ref="D8" location="_ftn1" display="_ftn1" xr:uid="{00000000-0004-0000-2100-000000000000}"/>
  </hyperlinks>
  <printOptions horizontalCentered="1"/>
  <pageMargins left="0.25" right="0.25" top="0.75" bottom="0.75" header="0.3" footer="0.3"/>
  <pageSetup paperSize="9" scale="50" orientation="portrait"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V117"/>
  <sheetViews>
    <sheetView view="pageBreakPreview" zoomScale="50" zoomScaleSheetLayoutView="50" workbookViewId="0">
      <selection activeCell="A2" sqref="A2:O2"/>
    </sheetView>
  </sheetViews>
  <sheetFormatPr defaultRowHeight="20.25" x14ac:dyDescent="0.3"/>
  <cols>
    <col min="1" max="1" width="9.7109375" style="1934" customWidth="1"/>
    <col min="2" max="2" width="92.42578125" style="1934" customWidth="1"/>
    <col min="3" max="3" width="29" style="1982" customWidth="1"/>
    <col min="4" max="4" width="22.42578125" style="1934" customWidth="1"/>
    <col min="5" max="5" width="27.7109375" style="1934" customWidth="1"/>
    <col min="6" max="6" width="33.140625" style="1934" customWidth="1"/>
    <col min="7" max="7" width="23.140625" style="1934" customWidth="1"/>
    <col min="8" max="8" width="33.5703125" style="1934" customWidth="1"/>
    <col min="9" max="9" width="9.85546875" style="1981" bestFit="1" customWidth="1"/>
    <col min="10" max="11" width="17.5703125" style="1934" bestFit="1" customWidth="1"/>
    <col min="12" max="16384" width="9.140625" style="1934"/>
  </cols>
  <sheetData>
    <row r="1" spans="1:21" ht="27.75" x14ac:dyDescent="0.4">
      <c r="A1" s="2586" t="str">
        <f>'25. pénzmaradvány kimutatás (2)'!A1:K1</f>
        <v>Pilisvörösvár Város Önkormányzata Képviselő-testületének 7/2018. (IV. 27.) önkormányzati rendelete</v>
      </c>
      <c r="B1" s="2586"/>
      <c r="C1" s="2586"/>
      <c r="D1" s="2586"/>
      <c r="E1" s="2586"/>
      <c r="F1" s="2587"/>
      <c r="G1" s="2587"/>
      <c r="H1" s="2587"/>
      <c r="I1" s="1933"/>
      <c r="J1" s="1933"/>
      <c r="K1" s="1933"/>
    </row>
    <row r="2" spans="1:21" ht="30" customHeight="1" x14ac:dyDescent="0.4">
      <c r="A2" s="2586" t="str">
        <f>'25. pénzmaradvány kimutatás (2)'!A2:K2</f>
        <v>az Önkormányzat  2017. évi zárszámadásáról</v>
      </c>
      <c r="B2" s="2586"/>
      <c r="C2" s="2586"/>
      <c r="D2" s="2586"/>
      <c r="E2" s="2586"/>
      <c r="F2" s="2587"/>
      <c r="G2" s="2587"/>
      <c r="H2" s="2587"/>
      <c r="I2" s="1933"/>
      <c r="J2" s="1933"/>
      <c r="K2" s="1933"/>
    </row>
    <row r="3" spans="1:21" ht="35.1" customHeight="1" x14ac:dyDescent="0.4">
      <c r="A3" s="2586" t="str">
        <f>Tartalomjegyzék_2017!B33</f>
        <v>Pilisvörösvár Város Önkormányzatának 2017. évi egyszerűsített mérlege</v>
      </c>
      <c r="B3" s="2586"/>
      <c r="C3" s="2586"/>
      <c r="D3" s="2586"/>
      <c r="E3" s="2586"/>
      <c r="F3" s="2587"/>
      <c r="G3" s="2587"/>
      <c r="H3" s="2587"/>
      <c r="I3" s="1935"/>
      <c r="J3" s="1935"/>
      <c r="K3" s="1935"/>
      <c r="L3" s="1936"/>
      <c r="M3" s="1936"/>
      <c r="N3" s="1936"/>
      <c r="O3" s="1936"/>
      <c r="P3" s="1936"/>
      <c r="Q3" s="1936"/>
      <c r="R3" s="1936"/>
      <c r="S3" s="1936"/>
      <c r="T3" s="1936"/>
    </row>
    <row r="4" spans="1:21" ht="37.5" customHeight="1" x14ac:dyDescent="0.3">
      <c r="C4" s="1937"/>
      <c r="D4" s="1938"/>
      <c r="F4" s="1936"/>
      <c r="G4" s="1936"/>
      <c r="H4" s="1939" t="s">
        <v>1220</v>
      </c>
      <c r="I4" s="1940"/>
      <c r="J4" s="1937"/>
      <c r="K4" s="1936"/>
      <c r="L4" s="1936"/>
      <c r="M4" s="1936"/>
      <c r="N4" s="1936"/>
      <c r="O4" s="1936"/>
      <c r="P4" s="1936"/>
      <c r="Q4" s="1936"/>
      <c r="R4" s="1936"/>
      <c r="S4" s="1936"/>
      <c r="T4" s="1936"/>
    </row>
    <row r="5" spans="1:21" ht="35.1" customHeight="1" x14ac:dyDescent="0.3">
      <c r="A5" s="1941"/>
      <c r="B5" s="1941"/>
      <c r="C5" s="1937"/>
      <c r="D5" s="1938"/>
      <c r="F5" s="1936"/>
      <c r="G5" s="1936"/>
      <c r="H5" s="1939" t="s">
        <v>358</v>
      </c>
      <c r="I5" s="1940"/>
      <c r="J5" s="1938"/>
      <c r="K5" s="1936"/>
      <c r="L5" s="1936"/>
      <c r="M5" s="1936"/>
      <c r="N5" s="1936"/>
      <c r="O5" s="1936"/>
      <c r="P5" s="1936"/>
      <c r="Q5" s="1936"/>
      <c r="R5" s="1936"/>
      <c r="S5" s="1936"/>
      <c r="T5" s="1936"/>
    </row>
    <row r="6" spans="1:21" ht="35.1" customHeight="1" x14ac:dyDescent="0.3">
      <c r="A6" s="2588"/>
      <c r="B6" s="2589" t="s">
        <v>1221</v>
      </c>
      <c r="C6" s="2590" t="s">
        <v>1222</v>
      </c>
      <c r="D6" s="2591" t="s">
        <v>1223</v>
      </c>
      <c r="E6" s="2592" t="s">
        <v>1224</v>
      </c>
      <c r="F6" s="2590" t="s">
        <v>1225</v>
      </c>
      <c r="G6" s="2591" t="s">
        <v>1223</v>
      </c>
      <c r="H6" s="2591" t="s">
        <v>1226</v>
      </c>
      <c r="I6" s="1942"/>
      <c r="J6" s="1942"/>
      <c r="K6" s="1942"/>
      <c r="L6" s="1936"/>
      <c r="M6" s="1936"/>
      <c r="N6" s="1936"/>
      <c r="O6" s="1936"/>
      <c r="P6" s="1936"/>
      <c r="Q6" s="1936"/>
      <c r="R6" s="1936"/>
      <c r="S6" s="1936"/>
      <c r="T6" s="1936"/>
      <c r="U6" s="1936"/>
    </row>
    <row r="7" spans="1:21" ht="35.1" customHeight="1" x14ac:dyDescent="0.3">
      <c r="A7" s="2588"/>
      <c r="B7" s="2589"/>
      <c r="C7" s="2590"/>
      <c r="D7" s="2591"/>
      <c r="E7" s="2592"/>
      <c r="F7" s="2590"/>
      <c r="G7" s="2591"/>
      <c r="H7" s="2591"/>
      <c r="I7" s="1942"/>
      <c r="J7" s="1942"/>
      <c r="K7" s="1942"/>
      <c r="L7" s="1936"/>
      <c r="M7" s="1936"/>
      <c r="N7" s="1936"/>
      <c r="O7" s="1936"/>
      <c r="P7" s="1936"/>
      <c r="Q7" s="1936"/>
      <c r="R7" s="1942"/>
      <c r="S7" s="1936"/>
      <c r="T7" s="1936"/>
      <c r="U7" s="1936"/>
    </row>
    <row r="8" spans="1:21" ht="35.1" customHeight="1" x14ac:dyDescent="0.3">
      <c r="A8" s="2588"/>
      <c r="B8" s="2589"/>
      <c r="C8" s="2590"/>
      <c r="D8" s="2591"/>
      <c r="E8" s="2592"/>
      <c r="F8" s="2590"/>
      <c r="G8" s="2591"/>
      <c r="H8" s="2591"/>
      <c r="I8" s="1942"/>
      <c r="J8" s="1942"/>
      <c r="K8" s="1942"/>
      <c r="L8" s="1936"/>
      <c r="M8" s="1936"/>
      <c r="N8" s="1936"/>
      <c r="O8" s="1936"/>
      <c r="P8" s="1936"/>
      <c r="Q8" s="1936"/>
      <c r="R8" s="1936"/>
      <c r="S8" s="1936"/>
      <c r="T8" s="1936"/>
      <c r="U8" s="1936"/>
    </row>
    <row r="9" spans="1:21" ht="35.1" customHeight="1" x14ac:dyDescent="0.3">
      <c r="A9" s="2588"/>
      <c r="B9" s="2589"/>
      <c r="C9" s="2590"/>
      <c r="D9" s="2591"/>
      <c r="E9" s="2592"/>
      <c r="F9" s="2590"/>
      <c r="G9" s="2591"/>
      <c r="H9" s="2591"/>
      <c r="I9" s="1942"/>
      <c r="J9" s="1942"/>
      <c r="K9" s="1942"/>
      <c r="L9" s="1936"/>
      <c r="M9" s="1936"/>
      <c r="N9" s="1936"/>
      <c r="O9" s="1936"/>
      <c r="P9" s="1936"/>
      <c r="Q9" s="1936"/>
      <c r="R9" s="1936"/>
      <c r="S9" s="1936"/>
      <c r="T9" s="1936"/>
      <c r="U9" s="1936"/>
    </row>
    <row r="10" spans="1:21" ht="12" customHeight="1" x14ac:dyDescent="0.3">
      <c r="A10" s="2588"/>
      <c r="B10" s="2589"/>
      <c r="C10" s="2590"/>
      <c r="D10" s="2591"/>
      <c r="E10" s="2592"/>
      <c r="F10" s="2590"/>
      <c r="G10" s="2591"/>
      <c r="H10" s="2591"/>
      <c r="I10" s="1942"/>
      <c r="J10" s="1942"/>
      <c r="K10" s="1942"/>
      <c r="L10" s="1936"/>
      <c r="M10" s="1936"/>
      <c r="N10" s="1936"/>
      <c r="O10" s="1936"/>
      <c r="P10" s="1936"/>
      <c r="Q10" s="1936"/>
      <c r="R10" s="1936"/>
      <c r="S10" s="1936"/>
      <c r="T10" s="1936"/>
      <c r="U10" s="1936"/>
    </row>
    <row r="11" spans="1:21" ht="34.5" hidden="1" customHeight="1" thickBot="1" x14ac:dyDescent="0.35">
      <c r="A11" s="2588"/>
      <c r="B11" s="2589"/>
      <c r="C11" s="2590"/>
      <c r="D11" s="2591"/>
      <c r="E11" s="2592"/>
      <c r="F11" s="2590"/>
      <c r="G11" s="2591"/>
      <c r="H11" s="2591"/>
      <c r="I11" s="1942"/>
      <c r="J11" s="1942"/>
      <c r="K11" s="1942"/>
      <c r="L11" s="1936"/>
      <c r="M11" s="1936"/>
      <c r="N11" s="1936"/>
      <c r="O11" s="1936"/>
      <c r="P11" s="1936"/>
      <c r="Q11" s="1936"/>
      <c r="R11" s="1936"/>
      <c r="S11" s="1936"/>
      <c r="T11" s="1936"/>
      <c r="U11" s="1936"/>
    </row>
    <row r="12" spans="1:21" ht="10.5" hidden="1" customHeight="1" thickBot="1" x14ac:dyDescent="0.35">
      <c r="A12" s="2588"/>
      <c r="B12" s="2589"/>
      <c r="C12" s="2590"/>
      <c r="D12" s="2591"/>
      <c r="E12" s="2592"/>
      <c r="F12" s="2590"/>
      <c r="G12" s="2591"/>
      <c r="H12" s="2591"/>
      <c r="I12" s="1942"/>
      <c r="J12" s="1942"/>
      <c r="K12" s="1942"/>
      <c r="L12" s="1936"/>
      <c r="M12" s="1936"/>
      <c r="N12" s="1936"/>
      <c r="O12" s="1936"/>
      <c r="P12" s="1936"/>
      <c r="Q12" s="1936"/>
      <c r="R12" s="1936"/>
      <c r="S12" s="1936"/>
      <c r="T12" s="1936"/>
      <c r="U12" s="1936"/>
    </row>
    <row r="13" spans="1:21" ht="34.5" hidden="1" customHeight="1" thickBot="1" x14ac:dyDescent="0.35">
      <c r="A13" s="2588"/>
      <c r="B13" s="2589"/>
      <c r="C13" s="2590"/>
      <c r="D13" s="2591"/>
      <c r="E13" s="2592"/>
      <c r="F13" s="2590"/>
      <c r="G13" s="2591"/>
      <c r="H13" s="2591"/>
      <c r="I13" s="1943"/>
      <c r="J13" s="1943"/>
      <c r="K13" s="1943"/>
      <c r="L13" s="1936"/>
      <c r="M13" s="1936"/>
      <c r="N13" s="1936"/>
      <c r="O13" s="1936"/>
      <c r="P13" s="1936"/>
      <c r="Q13" s="1936"/>
      <c r="R13" s="1936"/>
      <c r="S13" s="1936"/>
      <c r="T13" s="1936"/>
      <c r="U13" s="1936"/>
    </row>
    <row r="14" spans="1:21" ht="21" hidden="1" customHeight="1" thickBot="1" x14ac:dyDescent="0.35">
      <c r="A14" s="2588"/>
      <c r="B14" s="2589"/>
      <c r="C14" s="2590"/>
      <c r="D14" s="2591"/>
      <c r="E14" s="2592"/>
      <c r="F14" s="2590"/>
      <c r="G14" s="2591"/>
      <c r="H14" s="2591"/>
      <c r="I14" s="1942"/>
      <c r="J14" s="1942"/>
      <c r="K14" s="1942"/>
      <c r="L14" s="1936"/>
      <c r="M14" s="1936"/>
      <c r="N14" s="1936"/>
      <c r="O14" s="1936"/>
      <c r="P14" s="1936"/>
      <c r="Q14" s="1936"/>
      <c r="R14" s="1936"/>
      <c r="S14" s="1936"/>
      <c r="T14" s="1936"/>
      <c r="U14" s="1936"/>
    </row>
    <row r="15" spans="1:21" ht="51" x14ac:dyDescent="0.3">
      <c r="A15" s="1944" t="s">
        <v>1227</v>
      </c>
      <c r="B15" s="1945" t="s">
        <v>1228</v>
      </c>
      <c r="C15" s="1946">
        <f>SUM(C16:C20)</f>
        <v>16821795</v>
      </c>
      <c r="D15" s="1947">
        <v>0</v>
      </c>
      <c r="E15" s="1947">
        <f>C15+D15</f>
        <v>16821795</v>
      </c>
      <c r="F15" s="1946">
        <f>'27. Mérleg'!E17/1000</f>
        <v>16705519.365</v>
      </c>
      <c r="G15" s="1947">
        <v>0</v>
      </c>
      <c r="H15" s="1947">
        <f>F15</f>
        <v>16705519.365</v>
      </c>
      <c r="I15" s="1948"/>
      <c r="J15" s="1948"/>
      <c r="K15" s="1948"/>
      <c r="L15" s="1936"/>
      <c r="M15" s="1936"/>
      <c r="N15" s="1936"/>
      <c r="O15" s="1936"/>
      <c r="P15" s="1936"/>
      <c r="Q15" s="1936"/>
      <c r="R15" s="1936"/>
      <c r="S15" s="1936"/>
      <c r="T15" s="1936"/>
      <c r="U15" s="1936"/>
    </row>
    <row r="16" spans="1:21" ht="27.75" x14ac:dyDescent="0.3">
      <c r="A16" s="1949" t="s">
        <v>482</v>
      </c>
      <c r="B16" s="1950" t="s">
        <v>1229</v>
      </c>
      <c r="C16" s="1951">
        <v>7173</v>
      </c>
      <c r="D16" s="1952">
        <v>0</v>
      </c>
      <c r="E16" s="1952">
        <f>C16+D16</f>
        <v>7173</v>
      </c>
      <c r="F16" s="1951">
        <f>'27. Mérleg'!E9/1000</f>
        <v>71169.260999999999</v>
      </c>
      <c r="G16" s="1952">
        <v>0</v>
      </c>
      <c r="H16" s="1952">
        <f>F16</f>
        <v>71169.260999999999</v>
      </c>
      <c r="I16" s="1940"/>
      <c r="J16" s="1953"/>
      <c r="K16" s="1953"/>
      <c r="L16" s="1936"/>
      <c r="M16" s="1936"/>
      <c r="N16" s="1936"/>
      <c r="O16" s="1936"/>
      <c r="P16" s="1936"/>
      <c r="Q16" s="1936"/>
      <c r="R16" s="1936"/>
      <c r="S16" s="1936"/>
      <c r="T16" s="1936"/>
      <c r="U16" s="1936"/>
    </row>
    <row r="17" spans="1:22" ht="27.75" x14ac:dyDescent="0.3">
      <c r="A17" s="1949" t="s">
        <v>504</v>
      </c>
      <c r="B17" s="1950" t="s">
        <v>1230</v>
      </c>
      <c r="C17" s="1951">
        <v>16811029</v>
      </c>
      <c r="D17" s="1952">
        <v>0</v>
      </c>
      <c r="E17" s="1952">
        <f>C17+D17</f>
        <v>16811029</v>
      </c>
      <c r="F17" s="1951">
        <f>'27. Mérleg'!E13/1000</f>
        <v>16630757.104</v>
      </c>
      <c r="G17" s="1952">
        <v>0</v>
      </c>
      <c r="H17" s="1952">
        <f>F17</f>
        <v>16630757.104</v>
      </c>
      <c r="I17" s="1940"/>
      <c r="J17" s="1953"/>
      <c r="K17" s="1953"/>
      <c r="L17" s="1936"/>
      <c r="M17" s="1936"/>
      <c r="N17" s="1936"/>
      <c r="O17" s="1936"/>
      <c r="P17" s="1936"/>
      <c r="Q17" s="1936"/>
      <c r="R17" s="1936"/>
      <c r="S17" s="1936"/>
      <c r="T17" s="1936"/>
      <c r="U17" s="1936"/>
    </row>
    <row r="18" spans="1:22" ht="20.25" customHeight="1" x14ac:dyDescent="0.3">
      <c r="A18" s="2582" t="s">
        <v>513</v>
      </c>
      <c r="B18" s="2584" t="s">
        <v>1231</v>
      </c>
      <c r="C18" s="2576">
        <v>3593</v>
      </c>
      <c r="D18" s="2578">
        <v>0</v>
      </c>
      <c r="E18" s="2580">
        <f>C18+D18</f>
        <v>3593</v>
      </c>
      <c r="F18" s="2576">
        <f>'27. Mérleg'!E16/1000</f>
        <v>3593</v>
      </c>
      <c r="G18" s="2578">
        <v>0</v>
      </c>
      <c r="H18" s="2580">
        <f>F18</f>
        <v>3593</v>
      </c>
      <c r="I18" s="1940"/>
      <c r="J18" s="1953"/>
      <c r="K18" s="1953"/>
      <c r="L18" s="1936"/>
      <c r="M18" s="1936"/>
      <c r="N18" s="1936"/>
      <c r="O18" s="1936"/>
      <c r="P18" s="1936"/>
      <c r="Q18" s="1936"/>
      <c r="R18" s="1936"/>
      <c r="S18" s="1936"/>
      <c r="T18" s="1936"/>
      <c r="U18" s="1936"/>
    </row>
    <row r="19" spans="1:22" ht="20.25" customHeight="1" x14ac:dyDescent="0.3">
      <c r="A19" s="2582"/>
      <c r="B19" s="2585"/>
      <c r="C19" s="2577"/>
      <c r="D19" s="2579"/>
      <c r="E19" s="2581"/>
      <c r="F19" s="2577"/>
      <c r="G19" s="2579"/>
      <c r="H19" s="2581"/>
      <c r="I19" s="1948"/>
      <c r="J19" s="1948"/>
      <c r="K19" s="1948"/>
      <c r="L19" s="1936"/>
      <c r="M19" s="1936"/>
      <c r="N19" s="1936"/>
      <c r="O19" s="1936"/>
      <c r="P19" s="1936"/>
      <c r="Q19" s="1936"/>
      <c r="R19" s="1936"/>
      <c r="S19" s="1936"/>
      <c r="T19" s="1936"/>
      <c r="U19" s="1936"/>
    </row>
    <row r="20" spans="1:22" ht="20.25" customHeight="1" x14ac:dyDescent="0.3">
      <c r="A20" s="2582" t="s">
        <v>36</v>
      </c>
      <c r="B20" s="2583" t="s">
        <v>1232</v>
      </c>
      <c r="C20" s="2576">
        <v>0</v>
      </c>
      <c r="D20" s="2578">
        <v>0</v>
      </c>
      <c r="E20" s="2580">
        <f>C20+D20</f>
        <v>0</v>
      </c>
      <c r="F20" s="2576"/>
      <c r="G20" s="2578">
        <v>0</v>
      </c>
      <c r="H20" s="2580"/>
      <c r="I20" s="1940"/>
      <c r="J20" s="1953"/>
      <c r="K20" s="1953"/>
      <c r="L20" s="1936"/>
      <c r="M20" s="1936"/>
      <c r="N20" s="1936"/>
      <c r="O20" s="1936"/>
      <c r="P20" s="1936"/>
      <c r="Q20" s="1936"/>
      <c r="R20" s="1936"/>
      <c r="S20" s="1936"/>
      <c r="T20" s="1936"/>
      <c r="U20" s="1936"/>
    </row>
    <row r="21" spans="1:22" ht="20.25" customHeight="1" x14ac:dyDescent="0.3">
      <c r="A21" s="2582"/>
      <c r="B21" s="2583"/>
      <c r="C21" s="2577"/>
      <c r="D21" s="2579"/>
      <c r="E21" s="2581"/>
      <c r="F21" s="2577"/>
      <c r="G21" s="2579"/>
      <c r="H21" s="2581"/>
      <c r="I21" s="1940"/>
      <c r="J21" s="1953"/>
      <c r="K21" s="1953"/>
      <c r="L21" s="1936"/>
      <c r="M21" s="1936"/>
      <c r="N21" s="1936"/>
      <c r="O21" s="1936"/>
      <c r="P21" s="1936"/>
      <c r="Q21" s="1936"/>
      <c r="R21" s="1936"/>
      <c r="S21" s="1936"/>
      <c r="T21" s="1936"/>
      <c r="U21" s="1936"/>
    </row>
    <row r="22" spans="1:22" ht="51" x14ac:dyDescent="0.3">
      <c r="A22" s="1944" t="s">
        <v>1233</v>
      </c>
      <c r="B22" s="1945" t="s">
        <v>1234</v>
      </c>
      <c r="C22" s="1946">
        <f>SUM(C23)</f>
        <v>2991</v>
      </c>
      <c r="D22" s="1947">
        <v>0</v>
      </c>
      <c r="E22" s="1947">
        <f>C22+D22</f>
        <v>2991</v>
      </c>
      <c r="F22" s="1946">
        <f>'27. Mérleg'!E23/1000</f>
        <v>153368.799</v>
      </c>
      <c r="G22" s="1947">
        <v>0</v>
      </c>
      <c r="H22" s="2057">
        <f>F22</f>
        <v>153368.799</v>
      </c>
      <c r="I22" s="1940"/>
      <c r="J22" s="1953"/>
      <c r="K22" s="1953"/>
      <c r="L22" s="1936"/>
      <c r="M22" s="1936"/>
      <c r="N22" s="1936"/>
      <c r="O22" s="1936"/>
      <c r="P22" s="1936"/>
      <c r="Q22" s="1936"/>
      <c r="R22" s="1936"/>
      <c r="S22" s="1936"/>
      <c r="T22" s="1936"/>
      <c r="U22" s="1936"/>
    </row>
    <row r="23" spans="1:22" ht="27.75" x14ac:dyDescent="0.3">
      <c r="A23" s="1949" t="s">
        <v>482</v>
      </c>
      <c r="B23" s="1950" t="s">
        <v>1235</v>
      </c>
      <c r="C23" s="1951">
        <v>2991</v>
      </c>
      <c r="D23" s="1952">
        <v>0</v>
      </c>
      <c r="E23" s="1952">
        <f>C23+D23</f>
        <v>2991</v>
      </c>
      <c r="F23" s="1951">
        <f>'27. Mérleg'!E19/1000</f>
        <v>3368.799</v>
      </c>
      <c r="G23" s="2043">
        <v>0</v>
      </c>
      <c r="H23" s="1952">
        <f>F23</f>
        <v>3368.799</v>
      </c>
      <c r="I23" s="1948"/>
      <c r="J23" s="1948"/>
      <c r="K23" s="1948"/>
      <c r="L23" s="1936"/>
      <c r="M23" s="1936"/>
      <c r="N23" s="1936"/>
      <c r="O23" s="1936"/>
      <c r="P23" s="1936"/>
      <c r="Q23" s="1936"/>
      <c r="R23" s="1936"/>
      <c r="S23" s="1936"/>
      <c r="T23" s="1936"/>
      <c r="U23" s="1936"/>
    </row>
    <row r="24" spans="1:22" ht="27.75" x14ac:dyDescent="0.3">
      <c r="A24" s="1949" t="s">
        <v>504</v>
      </c>
      <c r="B24" s="1950" t="s">
        <v>1236</v>
      </c>
      <c r="C24" s="1951">
        <v>0</v>
      </c>
      <c r="D24" s="1952">
        <v>0</v>
      </c>
      <c r="E24" s="1952">
        <f t="shared" ref="E24:E29" si="0">C24+D24</f>
        <v>0</v>
      </c>
      <c r="F24" s="1951">
        <f>'27. Mérleg'!E22/1000</f>
        <v>150000</v>
      </c>
      <c r="G24" s="2043">
        <v>0</v>
      </c>
      <c r="H24" s="1952">
        <f t="shared" ref="H24:H29" si="1">F24</f>
        <v>150000</v>
      </c>
      <c r="I24" s="1940"/>
      <c r="J24" s="1953"/>
      <c r="K24" s="1953"/>
      <c r="L24" s="1936"/>
      <c r="M24" s="1936"/>
      <c r="N24" s="1936"/>
      <c r="O24" s="1936"/>
      <c r="P24" s="1936"/>
      <c r="Q24" s="1936"/>
      <c r="R24" s="1936"/>
      <c r="S24" s="1936"/>
      <c r="T24" s="1936"/>
      <c r="U24" s="1936"/>
    </row>
    <row r="25" spans="1:22" ht="48.75" customHeight="1" x14ac:dyDescent="0.3">
      <c r="A25" s="1944" t="s">
        <v>1237</v>
      </c>
      <c r="B25" s="1945" t="s">
        <v>1238</v>
      </c>
      <c r="C25" s="1946">
        <v>495015</v>
      </c>
      <c r="D25" s="1947">
        <v>0</v>
      </c>
      <c r="E25" s="1947">
        <f t="shared" si="0"/>
        <v>495015</v>
      </c>
      <c r="F25" s="1946">
        <f>'27. Mérleg'!E30/1000</f>
        <v>355303.67599999998</v>
      </c>
      <c r="G25" s="1947">
        <v>0</v>
      </c>
      <c r="H25" s="2057">
        <f t="shared" si="1"/>
        <v>355303.67599999998</v>
      </c>
      <c r="I25" s="1940"/>
      <c r="J25" s="1953"/>
      <c r="K25" s="1953"/>
      <c r="L25" s="1936"/>
      <c r="M25" s="1936"/>
      <c r="N25" s="1936"/>
      <c r="O25" s="1936"/>
      <c r="P25" s="1936"/>
      <c r="Q25" s="1936"/>
      <c r="R25" s="1936"/>
      <c r="S25" s="1936"/>
      <c r="T25" s="1936"/>
      <c r="U25" s="1936"/>
    </row>
    <row r="26" spans="1:22" ht="48.75" customHeight="1" x14ac:dyDescent="0.3">
      <c r="A26" s="1944" t="s">
        <v>1239</v>
      </c>
      <c r="B26" s="1945" t="s">
        <v>1240</v>
      </c>
      <c r="C26" s="1946">
        <v>56882</v>
      </c>
      <c r="D26" s="1947">
        <v>0</v>
      </c>
      <c r="E26" s="1947">
        <f t="shared" si="0"/>
        <v>56882</v>
      </c>
      <c r="F26" s="1946">
        <f>'27. Mérleg'!E56/1000</f>
        <v>46034.207999999999</v>
      </c>
      <c r="G26" s="1947">
        <v>0</v>
      </c>
      <c r="H26" s="2057">
        <f t="shared" si="1"/>
        <v>46034.207999999999</v>
      </c>
      <c r="I26" s="2563"/>
      <c r="J26" s="1953"/>
      <c r="K26" s="1953"/>
      <c r="L26" s="1936"/>
      <c r="M26" s="1936"/>
      <c r="N26" s="1936"/>
      <c r="O26" s="1936"/>
      <c r="P26" s="1936"/>
      <c r="Q26" s="1936"/>
      <c r="R26" s="1936"/>
      <c r="S26" s="1936"/>
      <c r="T26" s="1936"/>
      <c r="U26" s="1936"/>
    </row>
    <row r="27" spans="1:22" ht="48.75" customHeight="1" x14ac:dyDescent="0.3">
      <c r="A27" s="1944" t="s">
        <v>1241</v>
      </c>
      <c r="B27" s="1945" t="s">
        <v>1242</v>
      </c>
      <c r="C27" s="1946">
        <v>4096</v>
      </c>
      <c r="D27" s="1947">
        <v>0</v>
      </c>
      <c r="E27" s="1947">
        <f t="shared" si="0"/>
        <v>4096</v>
      </c>
      <c r="F27" s="1946">
        <f>'27. Mérleg'!E65/1000</f>
        <v>9159.42</v>
      </c>
      <c r="G27" s="1947">
        <v>0</v>
      </c>
      <c r="H27" s="2057">
        <f t="shared" si="1"/>
        <v>9159.42</v>
      </c>
      <c r="I27" s="2563"/>
      <c r="J27" s="1953"/>
      <c r="K27" s="1953"/>
      <c r="L27" s="1936"/>
      <c r="M27" s="1936"/>
      <c r="N27" s="1936"/>
      <c r="O27" s="1936"/>
      <c r="P27" s="1936"/>
      <c r="Q27" s="1936"/>
      <c r="R27" s="1936"/>
      <c r="S27" s="1936"/>
      <c r="T27" s="1936"/>
      <c r="U27" s="1936"/>
    </row>
    <row r="28" spans="1:22" ht="36.75" customHeight="1" x14ac:dyDescent="0.3">
      <c r="A28" s="1944" t="s">
        <v>1243</v>
      </c>
      <c r="B28" s="1945" t="s">
        <v>1244</v>
      </c>
      <c r="C28" s="1946">
        <v>161</v>
      </c>
      <c r="D28" s="1947">
        <v>0</v>
      </c>
      <c r="E28" s="1947">
        <f t="shared" si="0"/>
        <v>161</v>
      </c>
      <c r="F28" s="1946">
        <f>'27. Mérleg'!E67/1000</f>
        <v>80.906999999999996</v>
      </c>
      <c r="G28" s="1947">
        <v>0</v>
      </c>
      <c r="H28" s="2057">
        <f t="shared" si="1"/>
        <v>80.906999999999996</v>
      </c>
      <c r="I28" s="2563"/>
      <c r="J28" s="1953"/>
      <c r="K28" s="1953"/>
      <c r="L28" s="1936"/>
      <c r="M28" s="1936"/>
      <c r="N28" s="1936"/>
      <c r="O28" s="1936"/>
      <c r="P28" s="1936"/>
      <c r="Q28" s="1936"/>
      <c r="R28" s="1936"/>
      <c r="S28" s="1936"/>
      <c r="T28" s="1936"/>
      <c r="U28" s="1936"/>
    </row>
    <row r="29" spans="1:22" ht="41.25" customHeight="1" x14ac:dyDescent="0.3">
      <c r="A29" s="1954"/>
      <c r="B29" s="1955" t="s">
        <v>1245</v>
      </c>
      <c r="C29" s="1956">
        <f>C28+C27+C26+C25+C22+C15</f>
        <v>17380940</v>
      </c>
      <c r="D29" s="1957">
        <v>0</v>
      </c>
      <c r="E29" s="1957">
        <f t="shared" si="0"/>
        <v>17380940</v>
      </c>
      <c r="F29" s="1956">
        <f>'27. Mérleg'!E68/1000</f>
        <v>17269466.375</v>
      </c>
      <c r="G29" s="1957">
        <v>0</v>
      </c>
      <c r="H29" s="2058">
        <f t="shared" si="1"/>
        <v>17269466.375</v>
      </c>
      <c r="I29" s="1948"/>
      <c r="J29" s="1948"/>
      <c r="K29" s="1948"/>
      <c r="L29" s="1936"/>
      <c r="M29" s="1936"/>
      <c r="N29" s="1936"/>
      <c r="O29" s="1936"/>
      <c r="P29" s="1936"/>
      <c r="Q29" s="1936"/>
      <c r="R29" s="1936"/>
      <c r="S29" s="1936"/>
      <c r="T29" s="1936"/>
      <c r="U29" s="1936"/>
    </row>
    <row r="30" spans="1:22" ht="35.1" customHeight="1" x14ac:dyDescent="0.3">
      <c r="A30" s="1958"/>
      <c r="B30" s="1958"/>
      <c r="C30" s="1959"/>
      <c r="D30" s="1960"/>
      <c r="E30" s="1960"/>
      <c r="F30" s="1960"/>
      <c r="G30" s="1960"/>
      <c r="H30" s="1939"/>
      <c r="I30" s="1940"/>
      <c r="J30" s="1936"/>
      <c r="K30" s="1936"/>
      <c r="L30" s="1936"/>
      <c r="M30" s="1936"/>
      <c r="N30" s="1936"/>
      <c r="O30" s="1936"/>
      <c r="P30" s="1936"/>
      <c r="Q30" s="1936"/>
      <c r="R30" s="1936"/>
      <c r="S30" s="1936"/>
      <c r="T30" s="1936"/>
      <c r="U30" s="1936"/>
    </row>
    <row r="31" spans="1:22" ht="35.1" customHeight="1" x14ac:dyDescent="0.3">
      <c r="A31" s="1958"/>
      <c r="B31" s="1958"/>
      <c r="C31" s="1959"/>
      <c r="D31" s="1960"/>
      <c r="E31" s="1960"/>
      <c r="F31" s="1960"/>
      <c r="G31" s="1960"/>
      <c r="H31" s="1939" t="s">
        <v>358</v>
      </c>
      <c r="I31" s="1940"/>
      <c r="J31" s="1936"/>
      <c r="K31" s="1936"/>
      <c r="L31" s="1936"/>
      <c r="M31" s="1936"/>
      <c r="N31" s="1936"/>
      <c r="O31" s="1936"/>
      <c r="P31" s="1936"/>
      <c r="Q31" s="1936"/>
      <c r="R31" s="1936"/>
      <c r="S31" s="1936"/>
      <c r="T31" s="1936"/>
      <c r="U31" s="1936"/>
    </row>
    <row r="32" spans="1:22" ht="35.1" customHeight="1" x14ac:dyDescent="0.3">
      <c r="A32" s="1961"/>
      <c r="B32" s="2564" t="s">
        <v>1246</v>
      </c>
      <c r="C32" s="2567" t="s">
        <v>1222</v>
      </c>
      <c r="D32" s="2570" t="s">
        <v>1247</v>
      </c>
      <c r="E32" s="2573" t="s">
        <v>1224</v>
      </c>
      <c r="F32" s="2567" t="s">
        <v>1225</v>
      </c>
      <c r="G32" s="2570" t="s">
        <v>1223</v>
      </c>
      <c r="H32" s="2570" t="s">
        <v>1226</v>
      </c>
      <c r="I32" s="1940"/>
      <c r="J32" s="1936"/>
      <c r="K32" s="1936"/>
      <c r="L32" s="1936"/>
      <c r="M32" s="1936"/>
      <c r="N32" s="1936"/>
      <c r="O32" s="1936"/>
      <c r="P32" s="1936"/>
      <c r="Q32" s="1936"/>
      <c r="R32" s="1936"/>
      <c r="S32" s="1936"/>
      <c r="T32" s="1936"/>
      <c r="U32" s="1936"/>
      <c r="V32" s="1936"/>
    </row>
    <row r="33" spans="1:22" ht="35.1" customHeight="1" x14ac:dyDescent="0.3">
      <c r="A33" s="1962"/>
      <c r="B33" s="2565"/>
      <c r="C33" s="2568"/>
      <c r="D33" s="2571"/>
      <c r="E33" s="2574"/>
      <c r="F33" s="2568"/>
      <c r="G33" s="2571"/>
      <c r="H33" s="2571"/>
      <c r="I33" s="1940"/>
      <c r="J33" s="1936"/>
      <c r="K33" s="1936"/>
      <c r="L33" s="1936"/>
      <c r="M33" s="1936"/>
      <c r="N33" s="1936"/>
      <c r="O33" s="1936"/>
      <c r="P33" s="1936"/>
      <c r="Q33" s="1936"/>
      <c r="R33" s="1936"/>
      <c r="S33" s="1936"/>
      <c r="T33" s="1936"/>
      <c r="U33" s="1936"/>
      <c r="V33" s="1936"/>
    </row>
    <row r="34" spans="1:22" ht="35.1" customHeight="1" x14ac:dyDescent="0.3">
      <c r="A34" s="1962"/>
      <c r="B34" s="2565"/>
      <c r="C34" s="2568"/>
      <c r="D34" s="2571"/>
      <c r="E34" s="2574"/>
      <c r="F34" s="2568"/>
      <c r="G34" s="2571"/>
      <c r="H34" s="2571"/>
      <c r="I34" s="1940"/>
      <c r="J34" s="1936"/>
      <c r="K34" s="1936"/>
      <c r="L34" s="1936"/>
      <c r="M34" s="1936"/>
      <c r="N34" s="1936"/>
      <c r="O34" s="1936"/>
      <c r="P34" s="1936"/>
      <c r="Q34" s="1936"/>
      <c r="R34" s="1936"/>
      <c r="S34" s="1936"/>
      <c r="T34" s="1936"/>
      <c r="U34" s="1936"/>
      <c r="V34" s="1936"/>
    </row>
    <row r="35" spans="1:22" ht="27" thickBot="1" x14ac:dyDescent="0.35">
      <c r="A35" s="1962"/>
      <c r="B35" s="2565"/>
      <c r="C35" s="2569"/>
      <c r="D35" s="2572"/>
      <c r="E35" s="2575"/>
      <c r="F35" s="2569"/>
      <c r="G35" s="2572"/>
      <c r="H35" s="2572"/>
      <c r="I35" s="1940"/>
      <c r="J35" s="1936"/>
      <c r="K35" s="1936"/>
      <c r="L35" s="1936"/>
      <c r="M35" s="1936"/>
      <c r="N35" s="1936"/>
      <c r="O35" s="1936"/>
      <c r="P35" s="1936"/>
      <c r="Q35" s="1936"/>
      <c r="R35" s="1936"/>
      <c r="S35" s="1936"/>
      <c r="T35" s="1936"/>
      <c r="U35" s="1936"/>
      <c r="V35" s="1936"/>
    </row>
    <row r="36" spans="1:22" ht="26.25" hidden="1" customHeight="1" thickBot="1" x14ac:dyDescent="0.35">
      <c r="A36" s="1962"/>
      <c r="B36" s="2565"/>
      <c r="C36" s="2568"/>
      <c r="D36" s="2571"/>
      <c r="E36" s="2574"/>
      <c r="F36" s="2568"/>
      <c r="G36" s="2571"/>
      <c r="H36" s="2571"/>
      <c r="I36" s="1940"/>
      <c r="J36" s="1936"/>
      <c r="K36" s="1936"/>
      <c r="L36" s="1936"/>
      <c r="M36" s="1936"/>
      <c r="N36" s="1936"/>
      <c r="O36" s="1936"/>
      <c r="P36" s="1936"/>
      <c r="Q36" s="1936"/>
      <c r="R36" s="1936"/>
      <c r="S36" s="1936"/>
      <c r="T36" s="1936"/>
      <c r="U36" s="1936"/>
      <c r="V36" s="1936"/>
    </row>
    <row r="37" spans="1:22" ht="34.5" hidden="1" customHeight="1" thickBot="1" x14ac:dyDescent="0.35">
      <c r="A37" s="1962"/>
      <c r="B37" s="2565"/>
      <c r="C37" s="2568"/>
      <c r="D37" s="2571"/>
      <c r="E37" s="2574"/>
      <c r="F37" s="2568"/>
      <c r="G37" s="2571"/>
      <c r="H37" s="2571"/>
      <c r="I37" s="1940"/>
      <c r="J37" s="1936"/>
      <c r="K37" s="1936"/>
      <c r="L37" s="1936"/>
      <c r="M37" s="1936"/>
      <c r="N37" s="1936"/>
      <c r="O37" s="1936"/>
      <c r="P37" s="1936"/>
      <c r="Q37" s="1936"/>
      <c r="R37" s="1936"/>
      <c r="S37" s="1936"/>
      <c r="T37" s="1936"/>
      <c r="U37" s="1936"/>
      <c r="V37" s="1936"/>
    </row>
    <row r="38" spans="1:22" ht="34.5" hidden="1" customHeight="1" thickBot="1" x14ac:dyDescent="0.35">
      <c r="A38" s="1962"/>
      <c r="B38" s="2565"/>
      <c r="C38" s="2568"/>
      <c r="D38" s="2571"/>
      <c r="E38" s="2574"/>
      <c r="F38" s="2568"/>
      <c r="G38" s="2571"/>
      <c r="H38" s="2571"/>
      <c r="I38" s="1940"/>
      <c r="J38" s="1936"/>
      <c r="K38" s="1936"/>
      <c r="L38" s="1936"/>
      <c r="M38" s="1936"/>
      <c r="N38" s="1936"/>
      <c r="O38" s="1936"/>
      <c r="P38" s="1936"/>
      <c r="Q38" s="1936"/>
      <c r="R38" s="1936"/>
      <c r="S38" s="1936"/>
      <c r="T38" s="1936"/>
      <c r="U38" s="1936"/>
      <c r="V38" s="1936"/>
    </row>
    <row r="39" spans="1:22" ht="14.25" hidden="1" customHeight="1" thickBot="1" x14ac:dyDescent="0.35">
      <c r="A39" s="1962"/>
      <c r="B39" s="2565"/>
      <c r="C39" s="2568"/>
      <c r="D39" s="2571"/>
      <c r="E39" s="2574"/>
      <c r="F39" s="2568"/>
      <c r="G39" s="2571"/>
      <c r="H39" s="2571"/>
      <c r="I39" s="1940"/>
      <c r="J39" s="1936"/>
      <c r="K39" s="1936"/>
      <c r="L39" s="1936"/>
      <c r="M39" s="1936"/>
      <c r="N39" s="1936"/>
      <c r="O39" s="1936"/>
      <c r="P39" s="1936"/>
      <c r="Q39" s="1936"/>
      <c r="R39" s="1936"/>
      <c r="S39" s="1936"/>
      <c r="T39" s="1936"/>
      <c r="U39" s="1936"/>
      <c r="V39" s="1936"/>
    </row>
    <row r="40" spans="1:22" ht="34.5" hidden="1" customHeight="1" thickBot="1" x14ac:dyDescent="0.35">
      <c r="A40" s="1962"/>
      <c r="B40" s="2566"/>
      <c r="C40" s="2568"/>
      <c r="D40" s="2571"/>
      <c r="E40" s="2574"/>
      <c r="F40" s="2568"/>
      <c r="G40" s="2571"/>
      <c r="H40" s="2571"/>
      <c r="I40" s="1940"/>
      <c r="J40" s="1936"/>
      <c r="K40" s="1936"/>
      <c r="L40" s="1936"/>
      <c r="M40" s="1936"/>
      <c r="N40" s="1936"/>
      <c r="O40" s="1936"/>
      <c r="P40" s="1936"/>
      <c r="Q40" s="1936"/>
      <c r="R40" s="1936"/>
      <c r="S40" s="1936"/>
      <c r="T40" s="1936"/>
      <c r="U40" s="1936"/>
      <c r="V40" s="1936"/>
    </row>
    <row r="41" spans="1:22" ht="35.1" customHeight="1" thickTop="1" x14ac:dyDescent="0.3">
      <c r="A41" s="1963" t="s">
        <v>1248</v>
      </c>
      <c r="B41" s="1964" t="s">
        <v>1249</v>
      </c>
      <c r="C41" s="1965">
        <f>SUM(C42:C47)</f>
        <v>17208561</v>
      </c>
      <c r="D41" s="1966">
        <v>0</v>
      </c>
      <c r="E41" s="1966">
        <f>SUM(C41:D41)</f>
        <v>17208561</v>
      </c>
      <c r="F41" s="2059">
        <f>'27. Mérleg'!E81/1000</f>
        <v>17080938.039999999</v>
      </c>
      <c r="G41" s="2060">
        <v>0</v>
      </c>
      <c r="H41" s="2061">
        <f>F41</f>
        <v>17080938.039999999</v>
      </c>
      <c r="I41" s="1940"/>
      <c r="J41" s="1936"/>
      <c r="K41" s="1936"/>
      <c r="L41" s="1936"/>
      <c r="M41" s="1936"/>
      <c r="N41" s="1936"/>
      <c r="O41" s="1936"/>
      <c r="P41" s="1936"/>
      <c r="Q41" s="1936"/>
      <c r="R41" s="1936"/>
      <c r="S41" s="1936"/>
      <c r="T41" s="1936"/>
      <c r="U41" s="1936"/>
      <c r="V41" s="1936"/>
    </row>
    <row r="42" spans="1:22" ht="35.1" customHeight="1" x14ac:dyDescent="0.3">
      <c r="A42" s="1949" t="s">
        <v>482</v>
      </c>
      <c r="B42" s="1950" t="s">
        <v>1250</v>
      </c>
      <c r="C42" s="1967">
        <v>17850630</v>
      </c>
      <c r="D42" s="1968">
        <v>0</v>
      </c>
      <c r="E42" s="1968">
        <f t="shared" ref="E42:E48" si="2">SUM(C42:D42)</f>
        <v>17850630</v>
      </c>
      <c r="F42" s="1967">
        <f>'27. Mérleg'!E75/1000</f>
        <v>17850629.557999998</v>
      </c>
      <c r="G42" s="1968">
        <v>0</v>
      </c>
      <c r="H42" s="2062">
        <f t="shared" ref="H42:H54" si="3">F42</f>
        <v>17850629.557999998</v>
      </c>
      <c r="I42" s="1940"/>
      <c r="J42" s="1936"/>
      <c r="K42" s="1936"/>
      <c r="L42" s="1936"/>
      <c r="M42" s="1936"/>
      <c r="N42" s="1936"/>
      <c r="O42" s="1936"/>
      <c r="P42" s="1936"/>
      <c r="Q42" s="1936"/>
      <c r="R42" s="1936"/>
      <c r="S42" s="1936"/>
      <c r="T42" s="1936"/>
      <c r="U42" s="1936"/>
      <c r="V42" s="1936"/>
    </row>
    <row r="43" spans="1:22" ht="35.1" customHeight="1" x14ac:dyDescent="0.3">
      <c r="A43" s="1949" t="s">
        <v>504</v>
      </c>
      <c r="B43" s="1950" t="s">
        <v>1251</v>
      </c>
      <c r="C43" s="1967">
        <v>0</v>
      </c>
      <c r="D43" s="1968">
        <v>0</v>
      </c>
      <c r="E43" s="1968">
        <f t="shared" si="2"/>
        <v>0</v>
      </c>
      <c r="F43" s="1967">
        <f>'27. Mérleg'!E76/1000</f>
        <v>-165321.348</v>
      </c>
      <c r="G43" s="1947">
        <v>0</v>
      </c>
      <c r="H43" s="2062">
        <f t="shared" si="3"/>
        <v>-165321.348</v>
      </c>
      <c r="I43" s="1940"/>
      <c r="J43" s="1936"/>
      <c r="K43" s="1936"/>
      <c r="L43" s="1936"/>
      <c r="M43" s="1936"/>
      <c r="N43" s="1936"/>
      <c r="O43" s="1936"/>
      <c r="P43" s="1936"/>
      <c r="Q43" s="1936"/>
      <c r="R43" s="1936"/>
      <c r="S43" s="1936"/>
      <c r="T43" s="1936"/>
      <c r="U43" s="1936"/>
      <c r="V43" s="1936"/>
    </row>
    <row r="44" spans="1:22" ht="35.1" customHeight="1" x14ac:dyDescent="0.3">
      <c r="A44" s="1949" t="s">
        <v>513</v>
      </c>
      <c r="B44" s="1950" t="s">
        <v>1252</v>
      </c>
      <c r="C44" s="1967">
        <v>226266</v>
      </c>
      <c r="D44" s="1968">
        <v>0</v>
      </c>
      <c r="E44" s="1968">
        <f t="shared" si="2"/>
        <v>226266</v>
      </c>
      <c r="F44" s="1967">
        <f>'27. Mérleg'!E77/1000</f>
        <v>226265.63099999999</v>
      </c>
      <c r="G44" s="1968">
        <v>0</v>
      </c>
      <c r="H44" s="2062">
        <f t="shared" si="3"/>
        <v>226265.63099999999</v>
      </c>
      <c r="I44" s="1940"/>
      <c r="J44" s="1936"/>
      <c r="K44" s="1936"/>
      <c r="L44" s="1936"/>
      <c r="M44" s="1936"/>
      <c r="N44" s="1936"/>
      <c r="O44" s="1936"/>
      <c r="P44" s="1936"/>
      <c r="Q44" s="1936"/>
      <c r="R44" s="1936"/>
      <c r="S44" s="1936"/>
      <c r="T44" s="1936"/>
      <c r="U44" s="1936"/>
      <c r="V44" s="1936"/>
    </row>
    <row r="45" spans="1:22" ht="35.1" customHeight="1" x14ac:dyDescent="0.3">
      <c r="A45" s="1949" t="s">
        <v>36</v>
      </c>
      <c r="B45" s="1950" t="s">
        <v>1253</v>
      </c>
      <c r="C45" s="1951">
        <v>-775056</v>
      </c>
      <c r="D45" s="1969">
        <v>0</v>
      </c>
      <c r="E45" s="1969">
        <f t="shared" si="2"/>
        <v>-775056</v>
      </c>
      <c r="F45" s="1951">
        <f>'27. Mérleg'!E79/1000</f>
        <v>-868334.88699999999</v>
      </c>
      <c r="G45" s="1947">
        <v>0</v>
      </c>
      <c r="H45" s="2063">
        <f t="shared" si="3"/>
        <v>-868334.88699999999</v>
      </c>
      <c r="I45" s="1940"/>
      <c r="J45" s="1936"/>
      <c r="K45" s="1936"/>
      <c r="L45" s="1936"/>
      <c r="M45" s="1936"/>
      <c r="N45" s="1936"/>
      <c r="O45" s="1936"/>
      <c r="P45" s="1936"/>
      <c r="Q45" s="1936"/>
      <c r="R45" s="1936"/>
      <c r="S45" s="1936"/>
      <c r="T45" s="1936"/>
      <c r="U45" s="1936"/>
      <c r="V45" s="1936"/>
    </row>
    <row r="46" spans="1:22" ht="35.1" customHeight="1" x14ac:dyDescent="0.3">
      <c r="A46" s="1949" t="s">
        <v>1254</v>
      </c>
      <c r="B46" s="1950" t="s">
        <v>1255</v>
      </c>
      <c r="C46" s="1967">
        <v>0</v>
      </c>
      <c r="D46" s="1968">
        <v>0</v>
      </c>
      <c r="E46" s="1968">
        <f t="shared" si="2"/>
        <v>0</v>
      </c>
      <c r="F46" s="1951">
        <v>0</v>
      </c>
      <c r="G46" s="1968">
        <v>0</v>
      </c>
      <c r="H46" s="2063">
        <f t="shared" si="3"/>
        <v>0</v>
      </c>
      <c r="I46" s="1940"/>
      <c r="J46" s="1936"/>
      <c r="K46" s="1936"/>
      <c r="L46" s="1936"/>
      <c r="M46" s="1936"/>
      <c r="N46" s="1936"/>
      <c r="O46" s="1936"/>
      <c r="P46" s="1936"/>
      <c r="Q46" s="1936"/>
      <c r="R46" s="1936"/>
      <c r="S46" s="1936"/>
      <c r="T46" s="1936"/>
      <c r="U46" s="1936"/>
      <c r="V46" s="1936"/>
    </row>
    <row r="47" spans="1:22" ht="35.1" customHeight="1" x14ac:dyDescent="0.3">
      <c r="A47" s="1949" t="s">
        <v>1256</v>
      </c>
      <c r="B47" s="1950" t="s">
        <v>1257</v>
      </c>
      <c r="C47" s="1967">
        <v>-93279</v>
      </c>
      <c r="D47" s="1968">
        <v>0</v>
      </c>
      <c r="E47" s="1968">
        <f t="shared" si="2"/>
        <v>-93279</v>
      </c>
      <c r="F47" s="1967">
        <f>'27. Mérleg'!E80/1000</f>
        <v>37699.086000000003</v>
      </c>
      <c r="G47" s="1947">
        <v>0</v>
      </c>
      <c r="H47" s="2062">
        <f t="shared" si="3"/>
        <v>37699.086000000003</v>
      </c>
      <c r="I47" s="1940"/>
      <c r="J47" s="1936"/>
      <c r="K47" s="1936"/>
      <c r="L47" s="1936"/>
      <c r="M47" s="1936"/>
      <c r="N47" s="1936"/>
      <c r="O47" s="1936"/>
      <c r="P47" s="1936"/>
      <c r="Q47" s="1936"/>
      <c r="R47" s="1936"/>
      <c r="S47" s="1936"/>
      <c r="T47" s="1936"/>
      <c r="U47" s="1936"/>
      <c r="V47" s="1936"/>
    </row>
    <row r="48" spans="1:22" ht="35.1" customHeight="1" x14ac:dyDescent="0.3">
      <c r="A48" s="1944" t="s">
        <v>1258</v>
      </c>
      <c r="B48" s="1970" t="s">
        <v>1259</v>
      </c>
      <c r="C48" s="1946">
        <f>SUM(C49:C51)</f>
        <v>168853</v>
      </c>
      <c r="D48" s="1947">
        <v>0</v>
      </c>
      <c r="E48" s="1947">
        <f t="shared" si="2"/>
        <v>168853</v>
      </c>
      <c r="F48" s="1946">
        <f>'27. Mérleg'!E100/1000</f>
        <v>161368.266</v>
      </c>
      <c r="G48" s="1968">
        <v>0</v>
      </c>
      <c r="H48" s="2064">
        <f t="shared" si="3"/>
        <v>161368.266</v>
      </c>
      <c r="I48" s="1940"/>
      <c r="J48" s="1936"/>
      <c r="K48" s="1936"/>
      <c r="L48" s="1936"/>
      <c r="M48" s="1936"/>
      <c r="N48" s="1936"/>
      <c r="O48" s="1936"/>
      <c r="P48" s="1936"/>
      <c r="Q48" s="1936"/>
      <c r="R48" s="1936"/>
      <c r="S48" s="1936"/>
      <c r="T48" s="1936"/>
      <c r="U48" s="1936"/>
      <c r="V48" s="1936"/>
    </row>
    <row r="49" spans="1:22" ht="35.1" customHeight="1" x14ac:dyDescent="0.3">
      <c r="A49" s="1949" t="s">
        <v>1260</v>
      </c>
      <c r="B49" s="1950" t="s">
        <v>1261</v>
      </c>
      <c r="C49" s="1967">
        <v>13232</v>
      </c>
      <c r="D49" s="1968">
        <v>0</v>
      </c>
      <c r="E49" s="1968">
        <f>SUM(C49:D49)</f>
        <v>13232</v>
      </c>
      <c r="F49" s="1967">
        <f>'27. Mérleg'!E87/1000</f>
        <v>2812.1790000000001</v>
      </c>
      <c r="G49" s="1947">
        <v>0</v>
      </c>
      <c r="H49" s="2062">
        <f t="shared" si="3"/>
        <v>2812.1790000000001</v>
      </c>
      <c r="I49" s="1940"/>
      <c r="J49" s="1936"/>
      <c r="K49" s="1936"/>
      <c r="L49" s="1936"/>
      <c r="M49" s="1936"/>
      <c r="N49" s="1936"/>
      <c r="O49" s="1936"/>
      <c r="P49" s="1936"/>
      <c r="Q49" s="1936"/>
      <c r="R49" s="1936"/>
      <c r="S49" s="1936"/>
      <c r="T49" s="1936"/>
      <c r="U49" s="1936"/>
      <c r="V49" s="1936"/>
    </row>
    <row r="50" spans="1:22" ht="35.1" customHeight="1" x14ac:dyDescent="0.3">
      <c r="A50" s="1949" t="s">
        <v>1262</v>
      </c>
      <c r="B50" s="1950" t="s">
        <v>1263</v>
      </c>
      <c r="C50" s="1967">
        <v>37951</v>
      </c>
      <c r="D50" s="1968">
        <v>0</v>
      </c>
      <c r="E50" s="1968">
        <f t="shared" ref="E50:E54" si="4">SUM(C50:D50)</f>
        <v>37951</v>
      </c>
      <c r="F50" s="1967">
        <f>'27. Mérleg'!E94/1000</f>
        <v>44799.381000000001</v>
      </c>
      <c r="G50" s="1968">
        <v>0</v>
      </c>
      <c r="H50" s="2062">
        <f t="shared" si="3"/>
        <v>44799.381000000001</v>
      </c>
      <c r="I50" s="1940"/>
      <c r="J50" s="1936"/>
      <c r="K50" s="1936"/>
      <c r="L50" s="1936"/>
      <c r="M50" s="1936"/>
      <c r="N50" s="1936"/>
      <c r="O50" s="1936"/>
      <c r="P50" s="1936"/>
      <c r="Q50" s="1936"/>
      <c r="R50" s="1936"/>
      <c r="S50" s="1936"/>
      <c r="T50" s="1936"/>
      <c r="U50" s="1936"/>
      <c r="V50" s="1936"/>
    </row>
    <row r="51" spans="1:22" ht="35.1" customHeight="1" x14ac:dyDescent="0.3">
      <c r="A51" s="1949" t="s">
        <v>513</v>
      </c>
      <c r="B51" s="1950" t="s">
        <v>1264</v>
      </c>
      <c r="C51" s="1967">
        <v>117670</v>
      </c>
      <c r="D51" s="1968">
        <v>0</v>
      </c>
      <c r="E51" s="1968">
        <f t="shared" si="4"/>
        <v>117670</v>
      </c>
      <c r="F51" s="1967">
        <f>'27. Mérleg'!E99/1000</f>
        <v>113756.70600000001</v>
      </c>
      <c r="G51" s="1947">
        <v>0</v>
      </c>
      <c r="H51" s="2062">
        <f t="shared" si="3"/>
        <v>113756.70600000001</v>
      </c>
      <c r="I51" s="1940"/>
      <c r="J51" s="1936"/>
      <c r="K51" s="1936"/>
      <c r="L51" s="1936"/>
      <c r="M51" s="1936"/>
      <c r="N51" s="1936"/>
      <c r="O51" s="1936"/>
      <c r="P51" s="1936"/>
      <c r="Q51" s="1936"/>
      <c r="R51" s="1936"/>
      <c r="S51" s="1936"/>
      <c r="T51" s="1936"/>
      <c r="U51" s="1936"/>
      <c r="V51" s="1936"/>
    </row>
    <row r="52" spans="1:22" s="1975" customFormat="1" ht="34.5" customHeight="1" x14ac:dyDescent="0.3">
      <c r="A52" s="1944" t="s">
        <v>482</v>
      </c>
      <c r="B52" s="1970" t="s">
        <v>1265</v>
      </c>
      <c r="C52" s="1971">
        <v>0</v>
      </c>
      <c r="D52" s="1972">
        <v>0</v>
      </c>
      <c r="E52" s="1972">
        <f t="shared" si="4"/>
        <v>0</v>
      </c>
      <c r="F52" s="1971"/>
      <c r="G52" s="1968">
        <v>0</v>
      </c>
      <c r="H52" s="2065">
        <f t="shared" si="3"/>
        <v>0</v>
      </c>
      <c r="I52" s="1973"/>
      <c r="J52" s="1974"/>
      <c r="K52" s="1974"/>
      <c r="L52" s="1974"/>
      <c r="M52" s="1974"/>
      <c r="N52" s="1974"/>
      <c r="O52" s="1974"/>
      <c r="P52" s="1974"/>
      <c r="Q52" s="1974"/>
      <c r="R52" s="1974"/>
      <c r="S52" s="1974"/>
      <c r="T52" s="1974"/>
      <c r="U52" s="1974"/>
      <c r="V52" s="1974"/>
    </row>
    <row r="53" spans="1:22" s="1975" customFormat="1" ht="35.1" customHeight="1" x14ac:dyDescent="0.3">
      <c r="A53" s="1944" t="s">
        <v>1266</v>
      </c>
      <c r="B53" s="1970" t="s">
        <v>1267</v>
      </c>
      <c r="C53" s="1971">
        <v>3526</v>
      </c>
      <c r="D53" s="1972">
        <v>0</v>
      </c>
      <c r="E53" s="1972">
        <f t="shared" si="4"/>
        <v>3526</v>
      </c>
      <c r="F53" s="1971">
        <f>'27. Mérleg'!E104/1000</f>
        <v>27160.069</v>
      </c>
      <c r="G53" s="1947">
        <v>0</v>
      </c>
      <c r="H53" s="2065">
        <f t="shared" si="3"/>
        <v>27160.069</v>
      </c>
      <c r="I53" s="1973"/>
      <c r="J53" s="1974"/>
      <c r="K53" s="1974"/>
      <c r="L53" s="1974"/>
      <c r="M53" s="1974"/>
      <c r="N53" s="1974"/>
      <c r="O53" s="1974"/>
      <c r="P53" s="1974"/>
      <c r="Q53" s="1974"/>
      <c r="R53" s="1974"/>
      <c r="S53" s="1974"/>
      <c r="T53" s="1974"/>
    </row>
    <row r="54" spans="1:22" s="1978" customFormat="1" ht="35.1" customHeight="1" thickBot="1" x14ac:dyDescent="0.35">
      <c r="A54" s="1954"/>
      <c r="B54" s="1955" t="s">
        <v>1268</v>
      </c>
      <c r="C54" s="1956">
        <f>C41+C48+C52+C53</f>
        <v>17380940</v>
      </c>
      <c r="D54" s="1957">
        <v>0</v>
      </c>
      <c r="E54" s="1957">
        <f t="shared" si="4"/>
        <v>17380940</v>
      </c>
      <c r="F54" s="2066">
        <f>'27. Mérleg'!E105/1000</f>
        <v>17269466.375</v>
      </c>
      <c r="G54" s="1957">
        <v>0</v>
      </c>
      <c r="H54" s="2067">
        <f t="shared" si="3"/>
        <v>17269466.375</v>
      </c>
      <c r="I54" s="1976"/>
      <c r="J54" s="2302"/>
      <c r="K54" s="1977"/>
      <c r="L54" s="1977"/>
      <c r="M54" s="1977"/>
      <c r="N54" s="1977"/>
      <c r="O54" s="1977"/>
      <c r="P54" s="1977"/>
      <c r="Q54" s="1977"/>
      <c r="R54" s="1977"/>
      <c r="S54" s="1977"/>
      <c r="T54" s="1977"/>
    </row>
    <row r="55" spans="1:22" ht="21" thickTop="1" x14ac:dyDescent="0.3">
      <c r="A55" s="1936"/>
      <c r="B55" s="1936"/>
      <c r="C55" s="1979"/>
      <c r="D55" s="1936"/>
      <c r="E55" s="1953"/>
      <c r="F55" s="1953"/>
      <c r="G55" s="1936"/>
      <c r="H55" s="1936"/>
      <c r="I55" s="1940"/>
      <c r="J55" s="1936"/>
      <c r="K55" s="1936"/>
      <c r="L55" s="1936"/>
      <c r="M55" s="1936"/>
      <c r="N55" s="1936"/>
      <c r="O55" s="1936"/>
      <c r="P55" s="1936"/>
      <c r="Q55" s="1936"/>
      <c r="R55" s="1936"/>
      <c r="S55" s="1936"/>
      <c r="T55" s="1936"/>
    </row>
    <row r="56" spans="1:22" x14ac:dyDescent="0.3">
      <c r="A56" s="1936"/>
      <c r="B56" s="1936"/>
      <c r="C56" s="1980"/>
      <c r="D56" s="1936"/>
      <c r="E56" s="1953"/>
      <c r="F56" s="1953"/>
      <c r="G56" s="1936"/>
      <c r="H56" s="1936"/>
    </row>
    <row r="57" spans="1:22" x14ac:dyDescent="0.3">
      <c r="A57" s="1936"/>
      <c r="B57" s="1936"/>
      <c r="C57" s="1980"/>
      <c r="D57" s="1936"/>
      <c r="E57" s="1953"/>
      <c r="F57" s="1953"/>
      <c r="G57" s="1936"/>
      <c r="H57" s="1936"/>
    </row>
    <row r="58" spans="1:22" x14ac:dyDescent="0.3">
      <c r="A58" s="1936"/>
      <c r="B58" s="1936"/>
      <c r="C58" s="1980"/>
      <c r="D58" s="1936"/>
      <c r="E58" s="1953"/>
      <c r="F58" s="1953"/>
      <c r="G58" s="1936"/>
      <c r="H58" s="1936"/>
    </row>
    <row r="59" spans="1:22" x14ac:dyDescent="0.3">
      <c r="A59" s="1936"/>
      <c r="B59" s="1936"/>
      <c r="C59" s="1980"/>
      <c r="D59" s="1936"/>
      <c r="E59" s="1953"/>
      <c r="F59" s="1953"/>
      <c r="G59" s="1936"/>
      <c r="H59" s="1936"/>
    </row>
    <row r="60" spans="1:22" x14ac:dyDescent="0.3">
      <c r="A60" s="1936"/>
      <c r="B60" s="1936"/>
      <c r="C60" s="1980"/>
      <c r="D60" s="1936"/>
      <c r="E60" s="1953"/>
      <c r="F60" s="1953"/>
      <c r="G60" s="1936"/>
      <c r="H60" s="1936"/>
    </row>
    <row r="61" spans="1:22" x14ac:dyDescent="0.3">
      <c r="A61" s="1936"/>
      <c r="B61" s="1936"/>
      <c r="C61" s="1980"/>
      <c r="D61" s="1936"/>
      <c r="E61" s="1953"/>
      <c r="F61" s="1953"/>
      <c r="G61" s="1936"/>
      <c r="H61" s="1936"/>
    </row>
    <row r="62" spans="1:22" x14ac:dyDescent="0.3">
      <c r="A62" s="1936"/>
      <c r="B62" s="1936"/>
      <c r="C62" s="1980"/>
      <c r="D62" s="1936"/>
      <c r="E62" s="1953"/>
      <c r="F62" s="1953"/>
      <c r="G62" s="1936"/>
      <c r="H62" s="1936"/>
    </row>
    <row r="63" spans="1:22" x14ac:dyDescent="0.3">
      <c r="A63" s="1936"/>
      <c r="B63" s="1936"/>
      <c r="C63" s="1980"/>
      <c r="D63" s="1936"/>
      <c r="E63" s="1953"/>
      <c r="F63" s="1953"/>
      <c r="G63" s="1936"/>
      <c r="H63" s="1936"/>
    </row>
    <row r="64" spans="1:22" x14ac:dyDescent="0.3">
      <c r="A64" s="1936"/>
      <c r="B64" s="1936"/>
      <c r="C64" s="1980"/>
      <c r="D64" s="1936"/>
      <c r="E64" s="1953"/>
      <c r="F64" s="1953"/>
      <c r="G64" s="1936"/>
      <c r="H64" s="1936"/>
    </row>
    <row r="65" spans="1:8" s="1981" customFormat="1" x14ac:dyDescent="0.3">
      <c r="A65" s="1936"/>
      <c r="B65" s="1936"/>
      <c r="C65" s="1980"/>
      <c r="D65" s="1936"/>
      <c r="E65" s="1953"/>
      <c r="F65" s="1953"/>
      <c r="G65" s="1936"/>
      <c r="H65" s="1936"/>
    </row>
    <row r="66" spans="1:8" s="1981" customFormat="1" x14ac:dyDescent="0.3">
      <c r="A66" s="1936"/>
      <c r="B66" s="1936"/>
      <c r="C66" s="1980"/>
      <c r="D66" s="1936"/>
      <c r="E66" s="1953"/>
      <c r="F66" s="1953"/>
      <c r="G66" s="1936"/>
      <c r="H66" s="1936"/>
    </row>
    <row r="67" spans="1:8" s="1981" customFormat="1" x14ac:dyDescent="0.3">
      <c r="A67" s="1936"/>
      <c r="B67" s="1936"/>
      <c r="C67" s="1980"/>
      <c r="D67" s="1936"/>
      <c r="E67" s="1953"/>
      <c r="F67" s="1953"/>
      <c r="G67" s="1936"/>
      <c r="H67" s="1936"/>
    </row>
    <row r="68" spans="1:8" s="1981" customFormat="1" x14ac:dyDescent="0.3">
      <c r="A68" s="1936"/>
      <c r="B68" s="1936"/>
      <c r="C68" s="1980"/>
      <c r="D68" s="1936"/>
      <c r="E68" s="1953"/>
      <c r="F68" s="1953"/>
      <c r="G68" s="1936"/>
      <c r="H68" s="1936"/>
    </row>
    <row r="69" spans="1:8" s="1981" customFormat="1" x14ac:dyDescent="0.3">
      <c r="A69" s="1936"/>
      <c r="B69" s="1936"/>
      <c r="C69" s="1980"/>
      <c r="D69" s="1936"/>
      <c r="E69" s="1953"/>
      <c r="F69" s="1953"/>
      <c r="G69" s="1936"/>
      <c r="H69" s="1936"/>
    </row>
    <row r="70" spans="1:8" s="1981" customFormat="1" x14ac:dyDescent="0.3">
      <c r="A70" s="1936"/>
      <c r="B70" s="1936"/>
      <c r="C70" s="1980"/>
      <c r="D70" s="1936"/>
      <c r="E70" s="1953"/>
      <c r="F70" s="1953"/>
      <c r="G70" s="1936"/>
      <c r="H70" s="1936"/>
    </row>
    <row r="71" spans="1:8" s="1981" customFormat="1" x14ac:dyDescent="0.3">
      <c r="A71" s="1936"/>
      <c r="B71" s="1936"/>
      <c r="C71" s="1980"/>
      <c r="D71" s="1936"/>
      <c r="E71" s="1953"/>
      <c r="F71" s="1953"/>
      <c r="G71" s="1936"/>
      <c r="H71" s="1936"/>
    </row>
    <row r="72" spans="1:8" s="1981" customFormat="1" x14ac:dyDescent="0.3">
      <c r="A72" s="1936"/>
      <c r="B72" s="1936"/>
      <c r="C72" s="1980"/>
      <c r="D72" s="1936"/>
      <c r="E72" s="1953"/>
      <c r="F72" s="1953"/>
      <c r="G72" s="1936"/>
      <c r="H72" s="1936"/>
    </row>
    <row r="73" spans="1:8" s="1981" customFormat="1" x14ac:dyDescent="0.3">
      <c r="A73" s="1936"/>
      <c r="B73" s="1936"/>
      <c r="C73" s="1980"/>
      <c r="D73" s="1936"/>
      <c r="E73" s="1953"/>
      <c r="F73" s="1953"/>
      <c r="G73" s="1936"/>
      <c r="H73" s="1936"/>
    </row>
    <row r="74" spans="1:8" s="1981" customFormat="1" x14ac:dyDescent="0.3">
      <c r="A74" s="1936"/>
      <c r="B74" s="1936"/>
      <c r="C74" s="1980"/>
      <c r="D74" s="1936"/>
      <c r="E74" s="1953"/>
      <c r="F74" s="1953"/>
      <c r="G74" s="1936"/>
      <c r="H74" s="1936"/>
    </row>
    <row r="75" spans="1:8" s="1981" customFormat="1" x14ac:dyDescent="0.3">
      <c r="A75" s="1936"/>
      <c r="B75" s="1936"/>
      <c r="C75" s="1980"/>
      <c r="D75" s="1936"/>
      <c r="E75" s="1953"/>
      <c r="F75" s="1953"/>
      <c r="G75" s="1936"/>
      <c r="H75" s="1936"/>
    </row>
    <row r="76" spans="1:8" s="1981" customFormat="1" x14ac:dyDescent="0.3">
      <c r="A76" s="1936"/>
      <c r="B76" s="1936"/>
      <c r="C76" s="1980"/>
      <c r="D76" s="1936"/>
      <c r="E76" s="1953"/>
      <c r="F76" s="1953"/>
      <c r="G76" s="1936"/>
      <c r="H76" s="1936"/>
    </row>
    <row r="77" spans="1:8" s="1981" customFormat="1" x14ac:dyDescent="0.3">
      <c r="A77" s="1936"/>
      <c r="B77" s="1936"/>
      <c r="C77" s="1980"/>
      <c r="D77" s="1936"/>
      <c r="E77" s="1936"/>
      <c r="F77" s="1936"/>
      <c r="G77" s="1936"/>
      <c r="H77" s="1936"/>
    </row>
    <row r="78" spans="1:8" s="1981" customFormat="1" x14ac:dyDescent="0.3">
      <c r="A78" s="1936"/>
      <c r="B78" s="1936"/>
      <c r="C78" s="1980"/>
      <c r="D78" s="1936"/>
      <c r="E78" s="1936"/>
      <c r="F78" s="1936"/>
      <c r="G78" s="1936"/>
      <c r="H78" s="1936"/>
    </row>
    <row r="79" spans="1:8" s="1981" customFormat="1" x14ac:dyDescent="0.3">
      <c r="A79" s="1936"/>
      <c r="B79" s="1936"/>
      <c r="C79" s="1980"/>
      <c r="D79" s="1936"/>
      <c r="E79" s="1936"/>
      <c r="F79" s="1936"/>
      <c r="G79" s="1936"/>
      <c r="H79" s="1936"/>
    </row>
    <row r="80" spans="1:8" s="1981" customFormat="1" x14ac:dyDescent="0.3">
      <c r="A80" s="1936"/>
      <c r="B80" s="1936"/>
      <c r="C80" s="1980"/>
      <c r="D80" s="1936"/>
      <c r="E80" s="1936"/>
      <c r="F80" s="1936"/>
      <c r="G80" s="1936"/>
      <c r="H80" s="1936"/>
    </row>
    <row r="81" spans="1:8" s="1981" customFormat="1" x14ac:dyDescent="0.3">
      <c r="A81" s="1936"/>
      <c r="B81" s="1936"/>
      <c r="C81" s="1980"/>
      <c r="D81" s="1936"/>
      <c r="E81" s="1936"/>
      <c r="F81" s="1936"/>
      <c r="G81" s="1936"/>
      <c r="H81" s="1936"/>
    </row>
    <row r="82" spans="1:8" s="1981" customFormat="1" x14ac:dyDescent="0.3">
      <c r="A82" s="1936"/>
      <c r="B82" s="1936"/>
      <c r="C82" s="1980"/>
      <c r="D82" s="1936"/>
      <c r="E82" s="1936"/>
      <c r="F82" s="1936"/>
      <c r="G82" s="1936"/>
      <c r="H82" s="1936"/>
    </row>
    <row r="83" spans="1:8" s="1981" customFormat="1" x14ac:dyDescent="0.3">
      <c r="A83" s="1936"/>
      <c r="B83" s="1936"/>
      <c r="C83" s="1980"/>
      <c r="D83" s="1936"/>
      <c r="E83" s="1936"/>
      <c r="F83" s="1936"/>
      <c r="G83" s="1936"/>
      <c r="H83" s="1936"/>
    </row>
    <row r="84" spans="1:8" s="1981" customFormat="1" x14ac:dyDescent="0.3">
      <c r="A84" s="1936"/>
      <c r="B84" s="1936"/>
      <c r="C84" s="1980"/>
      <c r="D84" s="1936"/>
      <c r="E84" s="1936"/>
      <c r="F84" s="1936"/>
      <c r="G84" s="1936"/>
      <c r="H84" s="1936"/>
    </row>
    <row r="85" spans="1:8" s="1981" customFormat="1" x14ac:dyDescent="0.3">
      <c r="A85" s="1936"/>
      <c r="B85" s="1936"/>
      <c r="C85" s="1980"/>
      <c r="D85" s="1936"/>
      <c r="E85" s="1936"/>
      <c r="F85" s="1936"/>
      <c r="G85" s="1936"/>
      <c r="H85" s="1936"/>
    </row>
    <row r="86" spans="1:8" s="1981" customFormat="1" x14ac:dyDescent="0.3">
      <c r="A86" s="1936"/>
      <c r="B86" s="1936"/>
      <c r="C86" s="1980"/>
      <c r="D86" s="1936"/>
      <c r="E86" s="1936"/>
      <c r="F86" s="1936"/>
      <c r="G86" s="1936"/>
      <c r="H86" s="1936"/>
    </row>
    <row r="87" spans="1:8" s="1981" customFormat="1" x14ac:dyDescent="0.3">
      <c r="A87" s="1936"/>
      <c r="B87" s="1936"/>
      <c r="C87" s="1980"/>
      <c r="D87" s="1936"/>
      <c r="E87" s="1936"/>
      <c r="F87" s="1936"/>
      <c r="G87" s="1936"/>
      <c r="H87" s="1936"/>
    </row>
    <row r="88" spans="1:8" s="1981" customFormat="1" x14ac:dyDescent="0.3">
      <c r="A88" s="1936"/>
      <c r="B88" s="1936"/>
      <c r="C88" s="1980"/>
      <c r="D88" s="1936"/>
      <c r="E88" s="1936"/>
      <c r="F88" s="1936"/>
      <c r="G88" s="1936"/>
      <c r="H88" s="1936"/>
    </row>
    <row r="89" spans="1:8" s="1981" customFormat="1" x14ac:dyDescent="0.3">
      <c r="A89" s="1936"/>
      <c r="B89" s="1936"/>
      <c r="C89" s="1980"/>
      <c r="D89" s="1936"/>
      <c r="E89" s="1936"/>
      <c r="F89" s="1936"/>
      <c r="G89" s="1936"/>
      <c r="H89" s="1936"/>
    </row>
    <row r="90" spans="1:8" s="1981" customFormat="1" x14ac:dyDescent="0.3">
      <c r="A90" s="1936"/>
      <c r="B90" s="1936"/>
      <c r="C90" s="1980"/>
      <c r="D90" s="1936"/>
      <c r="E90" s="1936"/>
      <c r="F90" s="1936"/>
      <c r="G90" s="1936"/>
      <c r="H90" s="1936"/>
    </row>
    <row r="91" spans="1:8" s="1981" customFormat="1" x14ac:dyDescent="0.3">
      <c r="A91" s="1936"/>
      <c r="B91" s="1936"/>
      <c r="C91" s="1980"/>
      <c r="D91" s="1936"/>
      <c r="E91" s="1936"/>
      <c r="F91" s="1936"/>
      <c r="G91" s="1936"/>
      <c r="H91" s="1936"/>
    </row>
    <row r="92" spans="1:8" s="1981" customFormat="1" x14ac:dyDescent="0.3">
      <c r="A92" s="1936"/>
      <c r="B92" s="1936"/>
      <c r="C92" s="1980"/>
      <c r="D92" s="1936"/>
      <c r="E92" s="1936"/>
      <c r="F92" s="1936"/>
      <c r="G92" s="1936"/>
      <c r="H92" s="1936"/>
    </row>
    <row r="93" spans="1:8" s="1981" customFormat="1" x14ac:dyDescent="0.3">
      <c r="A93" s="1936"/>
      <c r="B93" s="1936"/>
      <c r="C93" s="1980"/>
      <c r="D93" s="1936"/>
      <c r="E93" s="1936"/>
      <c r="F93" s="1936"/>
      <c r="G93" s="1936"/>
      <c r="H93" s="1936"/>
    </row>
    <row r="94" spans="1:8" s="1981" customFormat="1" x14ac:dyDescent="0.3">
      <c r="A94" s="1936"/>
      <c r="B94" s="1936"/>
      <c r="C94" s="1980"/>
      <c r="D94" s="1936"/>
      <c r="E94" s="1936"/>
      <c r="F94" s="1936"/>
      <c r="G94" s="1936"/>
      <c r="H94" s="1936"/>
    </row>
    <row r="95" spans="1:8" s="1981" customFormat="1" x14ac:dyDescent="0.3">
      <c r="A95" s="1936"/>
      <c r="B95" s="1936"/>
      <c r="C95" s="1980"/>
      <c r="D95" s="1936"/>
      <c r="E95" s="1936"/>
      <c r="F95" s="1936"/>
      <c r="G95" s="1936"/>
      <c r="H95" s="1936"/>
    </row>
    <row r="96" spans="1:8" s="1981" customFormat="1" x14ac:dyDescent="0.3">
      <c r="A96" s="1936"/>
      <c r="B96" s="1936"/>
      <c r="C96" s="1980"/>
      <c r="D96" s="1936"/>
      <c r="E96" s="1936"/>
      <c r="F96" s="1936"/>
      <c r="G96" s="1936"/>
      <c r="H96" s="1936"/>
    </row>
    <row r="97" spans="1:8" s="1981" customFormat="1" x14ac:dyDescent="0.3">
      <c r="A97" s="1936"/>
      <c r="B97" s="1936"/>
      <c r="C97" s="1980"/>
      <c r="D97" s="1936"/>
      <c r="E97" s="1936"/>
      <c r="F97" s="1936"/>
      <c r="G97" s="1936"/>
      <c r="H97" s="1936"/>
    </row>
    <row r="98" spans="1:8" s="1981" customFormat="1" x14ac:dyDescent="0.3">
      <c r="A98" s="1936"/>
      <c r="B98" s="1936"/>
      <c r="C98" s="1980"/>
      <c r="D98" s="1936"/>
      <c r="E98" s="1936"/>
      <c r="F98" s="1936"/>
      <c r="G98" s="1936"/>
      <c r="H98" s="1936"/>
    </row>
    <row r="99" spans="1:8" s="1981" customFormat="1" x14ac:dyDescent="0.3">
      <c r="A99" s="1936"/>
      <c r="B99" s="1936"/>
      <c r="C99" s="1980"/>
      <c r="D99" s="1936"/>
      <c r="E99" s="1936"/>
      <c r="F99" s="1936"/>
      <c r="G99" s="1936"/>
      <c r="H99" s="1936"/>
    </row>
    <row r="100" spans="1:8" s="1981" customFormat="1" x14ac:dyDescent="0.3">
      <c r="A100" s="1936"/>
      <c r="B100" s="1936"/>
      <c r="C100" s="1980"/>
      <c r="D100" s="1936"/>
      <c r="E100" s="1936"/>
      <c r="F100" s="1936"/>
      <c r="G100" s="1936"/>
      <c r="H100" s="1936"/>
    </row>
    <row r="101" spans="1:8" s="1981" customFormat="1" x14ac:dyDescent="0.3">
      <c r="A101" s="1936"/>
      <c r="B101" s="1936"/>
      <c r="C101" s="1980"/>
      <c r="D101" s="1936"/>
      <c r="E101" s="1936"/>
      <c r="F101" s="1936"/>
      <c r="G101" s="1936"/>
      <c r="H101" s="1936"/>
    </row>
    <row r="102" spans="1:8" s="1981" customFormat="1" x14ac:dyDescent="0.3">
      <c r="A102" s="1936"/>
      <c r="B102" s="1936"/>
      <c r="C102" s="1980"/>
      <c r="D102" s="1936"/>
      <c r="E102" s="1936"/>
      <c r="F102" s="1936"/>
      <c r="G102" s="1936"/>
      <c r="H102" s="1936"/>
    </row>
    <row r="103" spans="1:8" s="1981" customFormat="1" x14ac:dyDescent="0.3">
      <c r="A103" s="1936"/>
      <c r="B103" s="1936"/>
      <c r="C103" s="1980"/>
      <c r="D103" s="1936"/>
      <c r="E103" s="1936"/>
      <c r="F103" s="1936"/>
      <c r="G103" s="1936"/>
      <c r="H103" s="1936"/>
    </row>
    <row r="104" spans="1:8" s="1981" customFormat="1" x14ac:dyDescent="0.3">
      <c r="A104" s="1936"/>
      <c r="B104" s="1936"/>
      <c r="C104" s="1980"/>
      <c r="D104" s="1936"/>
      <c r="E104" s="1936"/>
      <c r="F104" s="1936"/>
      <c r="G104" s="1936"/>
      <c r="H104" s="1936"/>
    </row>
    <row r="105" spans="1:8" s="1981" customFormat="1" x14ac:dyDescent="0.3">
      <c r="A105" s="1936"/>
      <c r="B105" s="1936"/>
      <c r="C105" s="1980"/>
      <c r="D105" s="1936"/>
      <c r="E105" s="1936"/>
      <c r="F105" s="1936"/>
      <c r="G105" s="1936"/>
      <c r="H105" s="1936"/>
    </row>
    <row r="106" spans="1:8" s="1981" customFormat="1" x14ac:dyDescent="0.3">
      <c r="A106" s="1936"/>
      <c r="B106" s="1936"/>
      <c r="C106" s="1980"/>
      <c r="D106" s="1936"/>
      <c r="E106" s="1936"/>
      <c r="F106" s="1936"/>
      <c r="G106" s="1936"/>
      <c r="H106" s="1936"/>
    </row>
    <row r="107" spans="1:8" s="1981" customFormat="1" x14ac:dyDescent="0.3">
      <c r="A107" s="1936"/>
      <c r="B107" s="1936"/>
      <c r="C107" s="1980"/>
      <c r="D107" s="1936"/>
      <c r="E107" s="1936"/>
      <c r="F107" s="1936"/>
      <c r="G107" s="1936"/>
      <c r="H107" s="1936"/>
    </row>
    <row r="108" spans="1:8" s="1981" customFormat="1" x14ac:dyDescent="0.3">
      <c r="A108" s="1936"/>
      <c r="B108" s="1936"/>
      <c r="C108" s="1980"/>
      <c r="D108" s="1936"/>
      <c r="E108" s="1936"/>
      <c r="F108" s="1936"/>
      <c r="G108" s="1936"/>
      <c r="H108" s="1936"/>
    </row>
    <row r="109" spans="1:8" s="1981" customFormat="1" x14ac:dyDescent="0.3">
      <c r="A109" s="1936"/>
      <c r="B109" s="1936"/>
      <c r="C109" s="1980"/>
      <c r="D109" s="1936"/>
      <c r="E109" s="1936"/>
      <c r="F109" s="1936"/>
      <c r="G109" s="1936"/>
      <c r="H109" s="1936"/>
    </row>
    <row r="110" spans="1:8" s="1981" customFormat="1" x14ac:dyDescent="0.3">
      <c r="A110" s="1936"/>
      <c r="B110" s="1936"/>
      <c r="C110" s="1980"/>
      <c r="D110" s="1936"/>
      <c r="E110" s="1936"/>
      <c r="F110" s="1936"/>
      <c r="G110" s="1936"/>
      <c r="H110" s="1936"/>
    </row>
    <row r="111" spans="1:8" s="1981" customFormat="1" x14ac:dyDescent="0.3">
      <c r="A111" s="1936"/>
      <c r="B111" s="1936"/>
      <c r="C111" s="1980"/>
      <c r="D111" s="1936"/>
      <c r="E111" s="1936"/>
      <c r="F111" s="1936"/>
      <c r="G111" s="1936"/>
      <c r="H111" s="1936"/>
    </row>
    <row r="112" spans="1:8" s="1981" customFormat="1" x14ac:dyDescent="0.3">
      <c r="A112" s="1936"/>
      <c r="B112" s="1936"/>
      <c r="C112" s="1980"/>
      <c r="D112" s="1936"/>
      <c r="E112" s="1936"/>
      <c r="F112" s="1936"/>
      <c r="G112" s="1936"/>
      <c r="H112" s="1936"/>
    </row>
    <row r="113" spans="1:8" s="1981" customFormat="1" x14ac:dyDescent="0.3">
      <c r="A113" s="1936"/>
      <c r="B113" s="1936"/>
      <c r="C113" s="1980"/>
      <c r="D113" s="1936"/>
      <c r="E113" s="1936"/>
      <c r="F113" s="1936"/>
      <c r="G113" s="1936"/>
      <c r="H113" s="1936"/>
    </row>
    <row r="114" spans="1:8" s="1981" customFormat="1" x14ac:dyDescent="0.3">
      <c r="A114" s="1936"/>
      <c r="B114" s="1936"/>
      <c r="C114" s="1980"/>
      <c r="D114" s="1936"/>
      <c r="E114" s="1936"/>
      <c r="F114" s="1936"/>
      <c r="G114" s="1936"/>
      <c r="H114" s="1936"/>
    </row>
    <row r="115" spans="1:8" s="1981" customFormat="1" x14ac:dyDescent="0.3">
      <c r="A115" s="1936"/>
      <c r="B115" s="1936"/>
      <c r="C115" s="1980"/>
      <c r="D115" s="1936"/>
      <c r="E115" s="1936"/>
      <c r="F115" s="1936"/>
      <c r="G115" s="1936"/>
      <c r="H115" s="1936"/>
    </row>
    <row r="116" spans="1:8" s="1981" customFormat="1" x14ac:dyDescent="0.3">
      <c r="A116" s="1936"/>
      <c r="B116" s="1936"/>
      <c r="C116" s="1980"/>
      <c r="D116" s="1936"/>
      <c r="E116" s="1936"/>
      <c r="F116" s="1936"/>
      <c r="G116" s="1936"/>
      <c r="H116" s="1936"/>
    </row>
    <row r="117" spans="1:8" s="1981" customFormat="1" x14ac:dyDescent="0.3">
      <c r="A117" s="1936"/>
      <c r="B117" s="1936"/>
      <c r="C117" s="1980"/>
      <c r="D117" s="1936"/>
      <c r="E117" s="1936"/>
      <c r="F117" s="1936"/>
      <c r="G117" s="1936"/>
      <c r="H117" s="1936"/>
    </row>
  </sheetData>
  <mergeCells count="35">
    <mergeCell ref="A1:H1"/>
    <mergeCell ref="A2:H2"/>
    <mergeCell ref="A3:H3"/>
    <mergeCell ref="A6:A14"/>
    <mergeCell ref="B6:B14"/>
    <mergeCell ref="C6:C14"/>
    <mergeCell ref="D6:D14"/>
    <mergeCell ref="E6:E14"/>
    <mergeCell ref="F6:F14"/>
    <mergeCell ref="G6:G14"/>
    <mergeCell ref="H6:H14"/>
    <mergeCell ref="F18:F19"/>
    <mergeCell ref="G18:G19"/>
    <mergeCell ref="H18:H19"/>
    <mergeCell ref="A20:A21"/>
    <mergeCell ref="B20:B21"/>
    <mergeCell ref="C20:C21"/>
    <mergeCell ref="D20:D21"/>
    <mergeCell ref="E20:E21"/>
    <mergeCell ref="G20:G21"/>
    <mergeCell ref="H20:H21"/>
    <mergeCell ref="F20:F21"/>
    <mergeCell ref="A18:A19"/>
    <mergeCell ref="B18:B19"/>
    <mergeCell ref="C18:C19"/>
    <mergeCell ref="D18:D19"/>
    <mergeCell ref="E18:E19"/>
    <mergeCell ref="I26:I28"/>
    <mergeCell ref="B32:B40"/>
    <mergeCell ref="C32:C40"/>
    <mergeCell ref="D32:D40"/>
    <mergeCell ref="E32:E40"/>
    <mergeCell ref="F32:F40"/>
    <mergeCell ref="G32:G40"/>
    <mergeCell ref="H32:H40"/>
  </mergeCells>
  <printOptions horizontalCentered="1"/>
  <pageMargins left="0.39370078740157483" right="0.39370078740157483" top="0.31496062992125984" bottom="0.35433070866141736" header="0.51181102362204722" footer="0.51181102362204722"/>
  <pageSetup paperSize="9" scale="39" orientation="portrait" verticalDpi="72"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E105"/>
  <sheetViews>
    <sheetView view="pageBreakPreview" zoomScale="90" zoomScaleNormal="100" zoomScaleSheetLayoutView="90" workbookViewId="0">
      <pane ySplit="6" topLeftCell="A7" activePane="bottomLeft" state="frozen"/>
      <selection activeCell="A2" sqref="A2:O2"/>
      <selection pane="bottomLeft" activeCell="A2" sqref="A2:O2"/>
    </sheetView>
  </sheetViews>
  <sheetFormatPr defaultRowHeight="12.75" x14ac:dyDescent="0.2"/>
  <cols>
    <col min="1" max="1" width="8.140625" style="2044" customWidth="1"/>
    <col min="2" max="2" width="109.140625" style="2044" customWidth="1"/>
    <col min="3" max="3" width="23.42578125" style="2044" customWidth="1"/>
    <col min="4" max="4" width="19" style="2044" bestFit="1" customWidth="1"/>
    <col min="5" max="5" width="23.42578125" style="2044" customWidth="1"/>
    <col min="6" max="256" width="9.140625" style="2044"/>
    <col min="257" max="257" width="8.140625" style="2044" customWidth="1"/>
    <col min="258" max="258" width="41" style="2044" customWidth="1"/>
    <col min="259" max="261" width="32.85546875" style="2044" customWidth="1"/>
    <col min="262" max="512" width="9.140625" style="2044"/>
    <col min="513" max="513" width="8.140625" style="2044" customWidth="1"/>
    <col min="514" max="514" width="41" style="2044" customWidth="1"/>
    <col min="515" max="517" width="32.85546875" style="2044" customWidth="1"/>
    <col min="518" max="768" width="9.140625" style="2044"/>
    <col min="769" max="769" width="8.140625" style="2044" customWidth="1"/>
    <col min="770" max="770" width="41" style="2044" customWidth="1"/>
    <col min="771" max="773" width="32.85546875" style="2044" customWidth="1"/>
    <col min="774" max="1024" width="9.140625" style="2044"/>
    <col min="1025" max="1025" width="8.140625" style="2044" customWidth="1"/>
    <col min="1026" max="1026" width="41" style="2044" customWidth="1"/>
    <col min="1027" max="1029" width="32.85546875" style="2044" customWidth="1"/>
    <col min="1030" max="1280" width="9.140625" style="2044"/>
    <col min="1281" max="1281" width="8.140625" style="2044" customWidth="1"/>
    <col min="1282" max="1282" width="41" style="2044" customWidth="1"/>
    <col min="1283" max="1285" width="32.85546875" style="2044" customWidth="1"/>
    <col min="1286" max="1536" width="9.140625" style="2044"/>
    <col min="1537" max="1537" width="8.140625" style="2044" customWidth="1"/>
    <col min="1538" max="1538" width="41" style="2044" customWidth="1"/>
    <col min="1539" max="1541" width="32.85546875" style="2044" customWidth="1"/>
    <col min="1542" max="1792" width="9.140625" style="2044"/>
    <col min="1793" max="1793" width="8.140625" style="2044" customWidth="1"/>
    <col min="1794" max="1794" width="41" style="2044" customWidth="1"/>
    <col min="1795" max="1797" width="32.85546875" style="2044" customWidth="1"/>
    <col min="1798" max="2048" width="9.140625" style="2044"/>
    <col min="2049" max="2049" width="8.140625" style="2044" customWidth="1"/>
    <col min="2050" max="2050" width="41" style="2044" customWidth="1"/>
    <col min="2051" max="2053" width="32.85546875" style="2044" customWidth="1"/>
    <col min="2054" max="2304" width="9.140625" style="2044"/>
    <col min="2305" max="2305" width="8.140625" style="2044" customWidth="1"/>
    <col min="2306" max="2306" width="41" style="2044" customWidth="1"/>
    <col min="2307" max="2309" width="32.85546875" style="2044" customWidth="1"/>
    <col min="2310" max="2560" width="9.140625" style="2044"/>
    <col min="2561" max="2561" width="8.140625" style="2044" customWidth="1"/>
    <col min="2562" max="2562" width="41" style="2044" customWidth="1"/>
    <col min="2563" max="2565" width="32.85546875" style="2044" customWidth="1"/>
    <col min="2566" max="2816" width="9.140625" style="2044"/>
    <col min="2817" max="2817" width="8.140625" style="2044" customWidth="1"/>
    <col min="2818" max="2818" width="41" style="2044" customWidth="1"/>
    <col min="2819" max="2821" width="32.85546875" style="2044" customWidth="1"/>
    <col min="2822" max="3072" width="9.140625" style="2044"/>
    <col min="3073" max="3073" width="8.140625" style="2044" customWidth="1"/>
    <col min="3074" max="3074" width="41" style="2044" customWidth="1"/>
    <col min="3075" max="3077" width="32.85546875" style="2044" customWidth="1"/>
    <col min="3078" max="3328" width="9.140625" style="2044"/>
    <col min="3329" max="3329" width="8.140625" style="2044" customWidth="1"/>
    <col min="3330" max="3330" width="41" style="2044" customWidth="1"/>
    <col min="3331" max="3333" width="32.85546875" style="2044" customWidth="1"/>
    <col min="3334" max="3584" width="9.140625" style="2044"/>
    <col min="3585" max="3585" width="8.140625" style="2044" customWidth="1"/>
    <col min="3586" max="3586" width="41" style="2044" customWidth="1"/>
    <col min="3587" max="3589" width="32.85546875" style="2044" customWidth="1"/>
    <col min="3590" max="3840" width="9.140625" style="2044"/>
    <col min="3841" max="3841" width="8.140625" style="2044" customWidth="1"/>
    <col min="3842" max="3842" width="41" style="2044" customWidth="1"/>
    <col min="3843" max="3845" width="32.85546875" style="2044" customWidth="1"/>
    <col min="3846" max="4096" width="9.140625" style="2044"/>
    <col min="4097" max="4097" width="8.140625" style="2044" customWidth="1"/>
    <col min="4098" max="4098" width="41" style="2044" customWidth="1"/>
    <col min="4099" max="4101" width="32.85546875" style="2044" customWidth="1"/>
    <col min="4102" max="4352" width="9.140625" style="2044"/>
    <col min="4353" max="4353" width="8.140625" style="2044" customWidth="1"/>
    <col min="4354" max="4354" width="41" style="2044" customWidth="1"/>
    <col min="4355" max="4357" width="32.85546875" style="2044" customWidth="1"/>
    <col min="4358" max="4608" width="9.140625" style="2044"/>
    <col min="4609" max="4609" width="8.140625" style="2044" customWidth="1"/>
    <col min="4610" max="4610" width="41" style="2044" customWidth="1"/>
    <col min="4611" max="4613" width="32.85546875" style="2044" customWidth="1"/>
    <col min="4614" max="4864" width="9.140625" style="2044"/>
    <col min="4865" max="4865" width="8.140625" style="2044" customWidth="1"/>
    <col min="4866" max="4866" width="41" style="2044" customWidth="1"/>
    <col min="4867" max="4869" width="32.85546875" style="2044" customWidth="1"/>
    <col min="4870" max="5120" width="9.140625" style="2044"/>
    <col min="5121" max="5121" width="8.140625" style="2044" customWidth="1"/>
    <col min="5122" max="5122" width="41" style="2044" customWidth="1"/>
    <col min="5123" max="5125" width="32.85546875" style="2044" customWidth="1"/>
    <col min="5126" max="5376" width="9.140625" style="2044"/>
    <col min="5377" max="5377" width="8.140625" style="2044" customWidth="1"/>
    <col min="5378" max="5378" width="41" style="2044" customWidth="1"/>
    <col min="5379" max="5381" width="32.85546875" style="2044" customWidth="1"/>
    <col min="5382" max="5632" width="9.140625" style="2044"/>
    <col min="5633" max="5633" width="8.140625" style="2044" customWidth="1"/>
    <col min="5634" max="5634" width="41" style="2044" customWidth="1"/>
    <col min="5635" max="5637" width="32.85546875" style="2044" customWidth="1"/>
    <col min="5638" max="5888" width="9.140625" style="2044"/>
    <col min="5889" max="5889" width="8.140625" style="2044" customWidth="1"/>
    <col min="5890" max="5890" width="41" style="2044" customWidth="1"/>
    <col min="5891" max="5893" width="32.85546875" style="2044" customWidth="1"/>
    <col min="5894" max="6144" width="9.140625" style="2044"/>
    <col min="6145" max="6145" width="8.140625" style="2044" customWidth="1"/>
    <col min="6146" max="6146" width="41" style="2044" customWidth="1"/>
    <col min="6147" max="6149" width="32.85546875" style="2044" customWidth="1"/>
    <col min="6150" max="6400" width="9.140625" style="2044"/>
    <col min="6401" max="6401" width="8.140625" style="2044" customWidth="1"/>
    <col min="6402" max="6402" width="41" style="2044" customWidth="1"/>
    <col min="6403" max="6405" width="32.85546875" style="2044" customWidth="1"/>
    <col min="6406" max="6656" width="9.140625" style="2044"/>
    <col min="6657" max="6657" width="8.140625" style="2044" customWidth="1"/>
    <col min="6658" max="6658" width="41" style="2044" customWidth="1"/>
    <col min="6659" max="6661" width="32.85546875" style="2044" customWidth="1"/>
    <col min="6662" max="6912" width="9.140625" style="2044"/>
    <col min="6913" max="6913" width="8.140625" style="2044" customWidth="1"/>
    <col min="6914" max="6914" width="41" style="2044" customWidth="1"/>
    <col min="6915" max="6917" width="32.85546875" style="2044" customWidth="1"/>
    <col min="6918" max="7168" width="9.140625" style="2044"/>
    <col min="7169" max="7169" width="8.140625" style="2044" customWidth="1"/>
    <col min="7170" max="7170" width="41" style="2044" customWidth="1"/>
    <col min="7171" max="7173" width="32.85546875" style="2044" customWidth="1"/>
    <col min="7174" max="7424" width="9.140625" style="2044"/>
    <col min="7425" max="7425" width="8.140625" style="2044" customWidth="1"/>
    <col min="7426" max="7426" width="41" style="2044" customWidth="1"/>
    <col min="7427" max="7429" width="32.85546875" style="2044" customWidth="1"/>
    <col min="7430" max="7680" width="9.140625" style="2044"/>
    <col min="7681" max="7681" width="8.140625" style="2044" customWidth="1"/>
    <col min="7682" max="7682" width="41" style="2044" customWidth="1"/>
    <col min="7683" max="7685" width="32.85546875" style="2044" customWidth="1"/>
    <col min="7686" max="7936" width="9.140625" style="2044"/>
    <col min="7937" max="7937" width="8.140625" style="2044" customWidth="1"/>
    <col min="7938" max="7938" width="41" style="2044" customWidth="1"/>
    <col min="7939" max="7941" width="32.85546875" style="2044" customWidth="1"/>
    <col min="7942" max="8192" width="9.140625" style="2044"/>
    <col min="8193" max="8193" width="8.140625" style="2044" customWidth="1"/>
    <col min="8194" max="8194" width="41" style="2044" customWidth="1"/>
    <col min="8195" max="8197" width="32.85546875" style="2044" customWidth="1"/>
    <col min="8198" max="8448" width="9.140625" style="2044"/>
    <col min="8449" max="8449" width="8.140625" style="2044" customWidth="1"/>
    <col min="8450" max="8450" width="41" style="2044" customWidth="1"/>
    <col min="8451" max="8453" width="32.85546875" style="2044" customWidth="1"/>
    <col min="8454" max="8704" width="9.140625" style="2044"/>
    <col min="8705" max="8705" width="8.140625" style="2044" customWidth="1"/>
    <col min="8706" max="8706" width="41" style="2044" customWidth="1"/>
    <col min="8707" max="8709" width="32.85546875" style="2044" customWidth="1"/>
    <col min="8710" max="8960" width="9.140625" style="2044"/>
    <col min="8961" max="8961" width="8.140625" style="2044" customWidth="1"/>
    <col min="8962" max="8962" width="41" style="2044" customWidth="1"/>
    <col min="8963" max="8965" width="32.85546875" style="2044" customWidth="1"/>
    <col min="8966" max="9216" width="9.140625" style="2044"/>
    <col min="9217" max="9217" width="8.140625" style="2044" customWidth="1"/>
    <col min="9218" max="9218" width="41" style="2044" customWidth="1"/>
    <col min="9219" max="9221" width="32.85546875" style="2044" customWidth="1"/>
    <col min="9222" max="9472" width="9.140625" style="2044"/>
    <col min="9473" max="9473" width="8.140625" style="2044" customWidth="1"/>
    <col min="9474" max="9474" width="41" style="2044" customWidth="1"/>
    <col min="9475" max="9477" width="32.85546875" style="2044" customWidth="1"/>
    <col min="9478" max="9728" width="9.140625" style="2044"/>
    <col min="9729" max="9729" width="8.140625" style="2044" customWidth="1"/>
    <col min="9730" max="9730" width="41" style="2044" customWidth="1"/>
    <col min="9731" max="9733" width="32.85546875" style="2044" customWidth="1"/>
    <col min="9734" max="9984" width="9.140625" style="2044"/>
    <col min="9985" max="9985" width="8.140625" style="2044" customWidth="1"/>
    <col min="9986" max="9986" width="41" style="2044" customWidth="1"/>
    <col min="9987" max="9989" width="32.85546875" style="2044" customWidth="1"/>
    <col min="9990" max="10240" width="9.140625" style="2044"/>
    <col min="10241" max="10241" width="8.140625" style="2044" customWidth="1"/>
    <col min="10242" max="10242" width="41" style="2044" customWidth="1"/>
    <col min="10243" max="10245" width="32.85546875" style="2044" customWidth="1"/>
    <col min="10246" max="10496" width="9.140625" style="2044"/>
    <col min="10497" max="10497" width="8.140625" style="2044" customWidth="1"/>
    <col min="10498" max="10498" width="41" style="2044" customWidth="1"/>
    <col min="10499" max="10501" width="32.85546875" style="2044" customWidth="1"/>
    <col min="10502" max="10752" width="9.140625" style="2044"/>
    <col min="10753" max="10753" width="8.140625" style="2044" customWidth="1"/>
    <col min="10754" max="10754" width="41" style="2044" customWidth="1"/>
    <col min="10755" max="10757" width="32.85546875" style="2044" customWidth="1"/>
    <col min="10758" max="11008" width="9.140625" style="2044"/>
    <col min="11009" max="11009" width="8.140625" style="2044" customWidth="1"/>
    <col min="11010" max="11010" width="41" style="2044" customWidth="1"/>
    <col min="11011" max="11013" width="32.85546875" style="2044" customWidth="1"/>
    <col min="11014" max="11264" width="9.140625" style="2044"/>
    <col min="11265" max="11265" width="8.140625" style="2044" customWidth="1"/>
    <col min="11266" max="11266" width="41" style="2044" customWidth="1"/>
    <col min="11267" max="11269" width="32.85546875" style="2044" customWidth="1"/>
    <col min="11270" max="11520" width="9.140625" style="2044"/>
    <col min="11521" max="11521" width="8.140625" style="2044" customWidth="1"/>
    <col min="11522" max="11522" width="41" style="2044" customWidth="1"/>
    <col min="11523" max="11525" width="32.85546875" style="2044" customWidth="1"/>
    <col min="11526" max="11776" width="9.140625" style="2044"/>
    <col min="11777" max="11777" width="8.140625" style="2044" customWidth="1"/>
    <col min="11778" max="11778" width="41" style="2044" customWidth="1"/>
    <col min="11779" max="11781" width="32.85546875" style="2044" customWidth="1"/>
    <col min="11782" max="12032" width="9.140625" style="2044"/>
    <col min="12033" max="12033" width="8.140625" style="2044" customWidth="1"/>
    <col min="12034" max="12034" width="41" style="2044" customWidth="1"/>
    <col min="12035" max="12037" width="32.85546875" style="2044" customWidth="1"/>
    <col min="12038" max="12288" width="9.140625" style="2044"/>
    <col min="12289" max="12289" width="8.140625" style="2044" customWidth="1"/>
    <col min="12290" max="12290" width="41" style="2044" customWidth="1"/>
    <col min="12291" max="12293" width="32.85546875" style="2044" customWidth="1"/>
    <col min="12294" max="12544" width="9.140625" style="2044"/>
    <col min="12545" max="12545" width="8.140625" style="2044" customWidth="1"/>
    <col min="12546" max="12546" width="41" style="2044" customWidth="1"/>
    <col min="12547" max="12549" width="32.85546875" style="2044" customWidth="1"/>
    <col min="12550" max="12800" width="9.140625" style="2044"/>
    <col min="12801" max="12801" width="8.140625" style="2044" customWidth="1"/>
    <col min="12802" max="12802" width="41" style="2044" customWidth="1"/>
    <col min="12803" max="12805" width="32.85546875" style="2044" customWidth="1"/>
    <col min="12806" max="13056" width="9.140625" style="2044"/>
    <col min="13057" max="13057" width="8.140625" style="2044" customWidth="1"/>
    <col min="13058" max="13058" width="41" style="2044" customWidth="1"/>
    <col min="13059" max="13061" width="32.85546875" style="2044" customWidth="1"/>
    <col min="13062" max="13312" width="9.140625" style="2044"/>
    <col min="13313" max="13313" width="8.140625" style="2044" customWidth="1"/>
    <col min="13314" max="13314" width="41" style="2044" customWidth="1"/>
    <col min="13315" max="13317" width="32.85546875" style="2044" customWidth="1"/>
    <col min="13318" max="13568" width="9.140625" style="2044"/>
    <col min="13569" max="13569" width="8.140625" style="2044" customWidth="1"/>
    <col min="13570" max="13570" width="41" style="2044" customWidth="1"/>
    <col min="13571" max="13573" width="32.85546875" style="2044" customWidth="1"/>
    <col min="13574" max="13824" width="9.140625" style="2044"/>
    <col min="13825" max="13825" width="8.140625" style="2044" customWidth="1"/>
    <col min="13826" max="13826" width="41" style="2044" customWidth="1"/>
    <col min="13827" max="13829" width="32.85546875" style="2044" customWidth="1"/>
    <col min="13830" max="14080" width="9.140625" style="2044"/>
    <col min="14081" max="14081" width="8.140625" style="2044" customWidth="1"/>
    <col min="14082" max="14082" width="41" style="2044" customWidth="1"/>
    <col min="14083" max="14085" width="32.85546875" style="2044" customWidth="1"/>
    <col min="14086" max="14336" width="9.140625" style="2044"/>
    <col min="14337" max="14337" width="8.140625" style="2044" customWidth="1"/>
    <col min="14338" max="14338" width="41" style="2044" customWidth="1"/>
    <col min="14339" max="14341" width="32.85546875" style="2044" customWidth="1"/>
    <col min="14342" max="14592" width="9.140625" style="2044"/>
    <col min="14593" max="14593" width="8.140625" style="2044" customWidth="1"/>
    <col min="14594" max="14594" width="41" style="2044" customWidth="1"/>
    <col min="14595" max="14597" width="32.85546875" style="2044" customWidth="1"/>
    <col min="14598" max="14848" width="9.140625" style="2044"/>
    <col min="14849" max="14849" width="8.140625" style="2044" customWidth="1"/>
    <col min="14850" max="14850" width="41" style="2044" customWidth="1"/>
    <col min="14851" max="14853" width="32.85546875" style="2044" customWidth="1"/>
    <col min="14854" max="15104" width="9.140625" style="2044"/>
    <col min="15105" max="15105" width="8.140625" style="2044" customWidth="1"/>
    <col min="15106" max="15106" width="41" style="2044" customWidth="1"/>
    <col min="15107" max="15109" width="32.85546875" style="2044" customWidth="1"/>
    <col min="15110" max="15360" width="9.140625" style="2044"/>
    <col min="15361" max="15361" width="8.140625" style="2044" customWidth="1"/>
    <col min="15362" max="15362" width="41" style="2044" customWidth="1"/>
    <col min="15363" max="15365" width="32.85546875" style="2044" customWidth="1"/>
    <col min="15366" max="15616" width="9.140625" style="2044"/>
    <col min="15617" max="15617" width="8.140625" style="2044" customWidth="1"/>
    <col min="15618" max="15618" width="41" style="2044" customWidth="1"/>
    <col min="15619" max="15621" width="32.85546875" style="2044" customWidth="1"/>
    <col min="15622" max="15872" width="9.140625" style="2044"/>
    <col min="15873" max="15873" width="8.140625" style="2044" customWidth="1"/>
    <col min="15874" max="15874" width="41" style="2044" customWidth="1"/>
    <col min="15875" max="15877" width="32.85546875" style="2044" customWidth="1"/>
    <col min="15878" max="16128" width="9.140625" style="2044"/>
    <col min="16129" max="16129" width="8.140625" style="2044" customWidth="1"/>
    <col min="16130" max="16130" width="41" style="2044" customWidth="1"/>
    <col min="16131" max="16133" width="32.85546875" style="2044" customWidth="1"/>
    <col min="16134" max="16384" width="9.140625" style="2044"/>
  </cols>
  <sheetData>
    <row r="1" spans="1:5" ht="18.75" x14ac:dyDescent="0.3">
      <c r="A1" s="2593" t="str">
        <f>'25. pénzmaradvány kimutatás (2)'!A1:K1</f>
        <v>Pilisvörösvár Város Önkormányzata Képviselő-testületének 7/2018. (IV. 27.) önkormányzati rendelete</v>
      </c>
      <c r="B1" s="2594"/>
      <c r="C1" s="2594"/>
      <c r="D1" s="2594"/>
      <c r="E1" s="2594"/>
    </row>
    <row r="2" spans="1:5" ht="18.75" x14ac:dyDescent="0.3">
      <c r="A2" s="2593" t="str">
        <f>'25. pénzmaradvány kimutatás (2)'!A2:K2</f>
        <v>az Önkormányzat  2017. évi zárszámadásáról</v>
      </c>
      <c r="B2" s="2594"/>
      <c r="C2" s="2594"/>
      <c r="D2" s="2594"/>
      <c r="E2" s="2594"/>
    </row>
    <row r="3" spans="1:5" ht="18.75" x14ac:dyDescent="0.3">
      <c r="A3" s="2593" t="str">
        <f>Tartalomjegyzék_2017!B34</f>
        <v>Pilisvörösvár Város Önkormányzatának 2017. évi mérlege</v>
      </c>
      <c r="B3" s="2594"/>
      <c r="C3" s="2594"/>
      <c r="D3" s="2594"/>
      <c r="E3" s="2594"/>
    </row>
    <row r="4" spans="1:5" ht="18.75" x14ac:dyDescent="0.3">
      <c r="A4" s="2052"/>
      <c r="B4" s="2052"/>
      <c r="C4" s="2052"/>
      <c r="D4" s="2052"/>
      <c r="E4" s="2053" t="s">
        <v>1269</v>
      </c>
    </row>
    <row r="5" spans="1:5" ht="18.75" x14ac:dyDescent="0.3">
      <c r="A5" s="2052"/>
      <c r="B5" s="2052"/>
      <c r="C5" s="2052"/>
      <c r="D5" s="2052"/>
      <c r="E5" s="1932" t="s">
        <v>806</v>
      </c>
    </row>
    <row r="6" spans="1:5" ht="15" x14ac:dyDescent="0.2">
      <c r="A6" s="2045" t="s">
        <v>1513</v>
      </c>
      <c r="B6" s="2045" t="s">
        <v>359</v>
      </c>
      <c r="C6" s="2045" t="s">
        <v>1270</v>
      </c>
      <c r="D6" s="2045" t="s">
        <v>1514</v>
      </c>
      <c r="E6" s="2045" t="s">
        <v>1271</v>
      </c>
    </row>
    <row r="7" spans="1:5" ht="15" x14ac:dyDescent="0.2">
      <c r="A7" s="2046" t="s">
        <v>1194</v>
      </c>
      <c r="B7" s="2072" t="s">
        <v>1272</v>
      </c>
      <c r="C7" s="2049">
        <v>344313</v>
      </c>
      <c r="D7" s="2049">
        <v>0</v>
      </c>
      <c r="E7" s="2049">
        <v>389590</v>
      </c>
    </row>
    <row r="8" spans="1:5" ht="15" x14ac:dyDescent="0.2">
      <c r="A8" s="2046" t="s">
        <v>1196</v>
      </c>
      <c r="B8" s="2072" t="s">
        <v>1273</v>
      </c>
      <c r="C8" s="2049">
        <v>6829095</v>
      </c>
      <c r="D8" s="2049">
        <v>0</v>
      </c>
      <c r="E8" s="2049">
        <v>70779671</v>
      </c>
    </row>
    <row r="9" spans="1:5" ht="15.75" x14ac:dyDescent="0.2">
      <c r="A9" s="2047" t="s">
        <v>1198</v>
      </c>
      <c r="B9" s="2070" t="s">
        <v>1274</v>
      </c>
      <c r="C9" s="2050">
        <v>7173408</v>
      </c>
      <c r="D9" s="2050">
        <v>0</v>
      </c>
      <c r="E9" s="2050">
        <v>71169261</v>
      </c>
    </row>
    <row r="10" spans="1:5" ht="15" x14ac:dyDescent="0.2">
      <c r="A10" s="2046" t="s">
        <v>1200</v>
      </c>
      <c r="B10" s="2072" t="s">
        <v>1275</v>
      </c>
      <c r="C10" s="2049">
        <v>16576638088</v>
      </c>
      <c r="D10" s="2049">
        <v>0</v>
      </c>
      <c r="E10" s="2049">
        <v>16491170932</v>
      </c>
    </row>
    <row r="11" spans="1:5" ht="15" x14ac:dyDescent="0.2">
      <c r="A11" s="2046" t="s">
        <v>1276</v>
      </c>
      <c r="B11" s="2072" t="s">
        <v>1277</v>
      </c>
      <c r="C11" s="2049">
        <v>137118472</v>
      </c>
      <c r="D11" s="2049">
        <v>0</v>
      </c>
      <c r="E11" s="2049">
        <v>126512306</v>
      </c>
    </row>
    <row r="12" spans="1:5" ht="15" x14ac:dyDescent="0.2">
      <c r="A12" s="2046" t="s">
        <v>1204</v>
      </c>
      <c r="B12" s="2072" t="s">
        <v>1278</v>
      </c>
      <c r="C12" s="2049">
        <v>97271970</v>
      </c>
      <c r="D12" s="2049">
        <v>0</v>
      </c>
      <c r="E12" s="2049">
        <v>13073866</v>
      </c>
    </row>
    <row r="13" spans="1:5" ht="15.75" x14ac:dyDescent="0.2">
      <c r="A13" s="2047" t="s">
        <v>179</v>
      </c>
      <c r="B13" s="2070" t="s">
        <v>1279</v>
      </c>
      <c r="C13" s="2050">
        <v>16811028530</v>
      </c>
      <c r="D13" s="2050">
        <v>0</v>
      </c>
      <c r="E13" s="2050">
        <v>16630757104</v>
      </c>
    </row>
    <row r="14" spans="1:5" ht="15" x14ac:dyDescent="0.2">
      <c r="A14" s="2046" t="s">
        <v>181</v>
      </c>
      <c r="B14" s="2072" t="s">
        <v>1280</v>
      </c>
      <c r="C14" s="2049">
        <v>3593000</v>
      </c>
      <c r="D14" s="2049">
        <v>0</v>
      </c>
      <c r="E14" s="2049">
        <v>3593000</v>
      </c>
    </row>
    <row r="15" spans="1:5" ht="15" x14ac:dyDescent="0.2">
      <c r="A15" s="2046" t="s">
        <v>188</v>
      </c>
      <c r="B15" s="2072" t="s">
        <v>1281</v>
      </c>
      <c r="C15" s="2049">
        <v>3593000</v>
      </c>
      <c r="D15" s="2049">
        <v>0</v>
      </c>
      <c r="E15" s="2049">
        <v>3593000</v>
      </c>
    </row>
    <row r="16" spans="1:5" ht="15.75" x14ac:dyDescent="0.2">
      <c r="A16" s="2047" t="s">
        <v>829</v>
      </c>
      <c r="B16" s="2070" t="s">
        <v>1282</v>
      </c>
      <c r="C16" s="2050">
        <v>3593000</v>
      </c>
      <c r="D16" s="2050">
        <v>0</v>
      </c>
      <c r="E16" s="2050">
        <v>3593000</v>
      </c>
    </row>
    <row r="17" spans="1:5" ht="15.75" x14ac:dyDescent="0.2">
      <c r="A17" s="2047" t="s">
        <v>214</v>
      </c>
      <c r="B17" s="2070" t="s">
        <v>1283</v>
      </c>
      <c r="C17" s="2050">
        <v>16821794938</v>
      </c>
      <c r="D17" s="2050">
        <v>0</v>
      </c>
      <c r="E17" s="2050">
        <v>16705519365</v>
      </c>
    </row>
    <row r="18" spans="1:5" ht="15" x14ac:dyDescent="0.2">
      <c r="A18" s="2046" t="s">
        <v>217</v>
      </c>
      <c r="B18" s="2072" t="s">
        <v>1284</v>
      </c>
      <c r="C18" s="2049">
        <v>2990795</v>
      </c>
      <c r="D18" s="2049">
        <v>0</v>
      </c>
      <c r="E18" s="2049">
        <v>3368799</v>
      </c>
    </row>
    <row r="19" spans="1:5" ht="15.75" x14ac:dyDescent="0.2">
      <c r="A19" s="2047" t="s">
        <v>225</v>
      </c>
      <c r="B19" s="2070" t="s">
        <v>1285</v>
      </c>
      <c r="C19" s="2050">
        <v>2990795</v>
      </c>
      <c r="D19" s="2050">
        <v>0</v>
      </c>
      <c r="E19" s="2050">
        <v>3368799</v>
      </c>
    </row>
    <row r="20" spans="1:5" ht="15" x14ac:dyDescent="0.2">
      <c r="A20" s="2046" t="s">
        <v>231</v>
      </c>
      <c r="B20" s="2072" t="s">
        <v>1515</v>
      </c>
      <c r="C20" s="2049">
        <v>0</v>
      </c>
      <c r="D20" s="2049">
        <v>0</v>
      </c>
      <c r="E20" s="2049">
        <v>150000000</v>
      </c>
    </row>
    <row r="21" spans="1:5" ht="15" x14ac:dyDescent="0.2">
      <c r="A21" s="2046" t="s">
        <v>236</v>
      </c>
      <c r="B21" s="2072" t="s">
        <v>1516</v>
      </c>
      <c r="C21" s="2049">
        <v>0</v>
      </c>
      <c r="D21" s="2049">
        <v>0</v>
      </c>
      <c r="E21" s="2049">
        <v>150000000</v>
      </c>
    </row>
    <row r="22" spans="1:5" ht="15.75" x14ac:dyDescent="0.2">
      <c r="A22" s="2047" t="s">
        <v>849</v>
      </c>
      <c r="B22" s="2070" t="s">
        <v>1517</v>
      </c>
      <c r="C22" s="2050">
        <v>0</v>
      </c>
      <c r="D22" s="2050">
        <v>0</v>
      </c>
      <c r="E22" s="2050">
        <v>150000000</v>
      </c>
    </row>
    <row r="23" spans="1:5" ht="15.75" x14ac:dyDescent="0.2">
      <c r="A23" s="2047" t="s">
        <v>855</v>
      </c>
      <c r="B23" s="2070" t="s">
        <v>1286</v>
      </c>
      <c r="C23" s="2050">
        <v>2990795</v>
      </c>
      <c r="D23" s="2050">
        <v>0</v>
      </c>
      <c r="E23" s="2050">
        <v>153368799</v>
      </c>
    </row>
    <row r="24" spans="1:5" ht="15" x14ac:dyDescent="0.2">
      <c r="A24" s="2046" t="s">
        <v>1287</v>
      </c>
      <c r="B24" s="2072" t="s">
        <v>1288</v>
      </c>
      <c r="C24" s="2049">
        <v>1042820</v>
      </c>
      <c r="D24" s="2049">
        <v>0</v>
      </c>
      <c r="E24" s="2049">
        <v>884660</v>
      </c>
    </row>
    <row r="25" spans="1:5" ht="15" x14ac:dyDescent="0.2">
      <c r="A25" s="2046" t="s">
        <v>1518</v>
      </c>
      <c r="B25" s="2072" t="s">
        <v>1519</v>
      </c>
      <c r="C25" s="2049">
        <v>0</v>
      </c>
      <c r="D25" s="2049">
        <v>0</v>
      </c>
      <c r="E25" s="2049">
        <v>31921</v>
      </c>
    </row>
    <row r="26" spans="1:5" ht="15" x14ac:dyDescent="0.2">
      <c r="A26" s="2046" t="s">
        <v>1289</v>
      </c>
      <c r="B26" s="2072" t="s">
        <v>1290</v>
      </c>
      <c r="C26" s="2049">
        <v>310333</v>
      </c>
      <c r="D26" s="2049">
        <v>0</v>
      </c>
      <c r="E26" s="2049">
        <v>308545</v>
      </c>
    </row>
    <row r="27" spans="1:5" ht="15.75" x14ac:dyDescent="0.2">
      <c r="A27" s="2047" t="s">
        <v>1291</v>
      </c>
      <c r="B27" s="2070" t="s">
        <v>1292</v>
      </c>
      <c r="C27" s="2050">
        <v>1353153</v>
      </c>
      <c r="D27" s="2050">
        <v>0</v>
      </c>
      <c r="E27" s="2050">
        <v>1225126</v>
      </c>
    </row>
    <row r="28" spans="1:5" ht="15" x14ac:dyDescent="0.2">
      <c r="A28" s="2046" t="s">
        <v>1293</v>
      </c>
      <c r="B28" s="2072" t="s">
        <v>1294</v>
      </c>
      <c r="C28" s="2049">
        <v>493661694</v>
      </c>
      <c r="D28" s="2049">
        <v>0</v>
      </c>
      <c r="E28" s="2049">
        <v>354078550</v>
      </c>
    </row>
    <row r="29" spans="1:5" ht="15.75" x14ac:dyDescent="0.2">
      <c r="A29" s="2047" t="s">
        <v>1295</v>
      </c>
      <c r="B29" s="2070" t="s">
        <v>1296</v>
      </c>
      <c r="C29" s="2050">
        <v>493661694</v>
      </c>
      <c r="D29" s="2050">
        <v>0</v>
      </c>
      <c r="E29" s="2050">
        <v>354078550</v>
      </c>
    </row>
    <row r="30" spans="1:5" ht="15.75" x14ac:dyDescent="0.2">
      <c r="A30" s="2047" t="s">
        <v>1297</v>
      </c>
      <c r="B30" s="2070" t="s">
        <v>1298</v>
      </c>
      <c r="C30" s="2050">
        <v>495014847</v>
      </c>
      <c r="D30" s="2050">
        <v>0</v>
      </c>
      <c r="E30" s="2050">
        <v>355303676</v>
      </c>
    </row>
    <row r="31" spans="1:5" ht="15" x14ac:dyDescent="0.2">
      <c r="A31" s="2046" t="s">
        <v>1299</v>
      </c>
      <c r="B31" s="2072" t="s">
        <v>1300</v>
      </c>
      <c r="C31" s="2049">
        <v>24294207</v>
      </c>
      <c r="D31" s="2049">
        <v>0</v>
      </c>
      <c r="E31" s="2049">
        <v>32229561</v>
      </c>
    </row>
    <row r="32" spans="1:5" ht="15" x14ac:dyDescent="0.2">
      <c r="A32" s="2046" t="s">
        <v>1301</v>
      </c>
      <c r="B32" s="2072" t="s">
        <v>1302</v>
      </c>
      <c r="C32" s="2049">
        <v>5750182</v>
      </c>
      <c r="D32" s="2049">
        <v>0</v>
      </c>
      <c r="E32" s="2049">
        <v>7521243</v>
      </c>
    </row>
    <row r="33" spans="1:5" ht="15" x14ac:dyDescent="0.2">
      <c r="A33" s="2046" t="s">
        <v>1303</v>
      </c>
      <c r="B33" s="2072" t="s">
        <v>1304</v>
      </c>
      <c r="C33" s="2049">
        <v>7117509</v>
      </c>
      <c r="D33" s="2049">
        <v>0</v>
      </c>
      <c r="E33" s="2049">
        <v>13477829</v>
      </c>
    </row>
    <row r="34" spans="1:5" ht="15" x14ac:dyDescent="0.2">
      <c r="A34" s="2046" t="s">
        <v>1305</v>
      </c>
      <c r="B34" s="2072" t="s">
        <v>1306</v>
      </c>
      <c r="C34" s="2049">
        <v>11426516</v>
      </c>
      <c r="D34" s="2049">
        <v>0</v>
      </c>
      <c r="E34" s="2049">
        <v>11230489</v>
      </c>
    </row>
    <row r="35" spans="1:5" ht="15" x14ac:dyDescent="0.2">
      <c r="A35" s="2046" t="s">
        <v>1307</v>
      </c>
      <c r="B35" s="2072" t="s">
        <v>1308</v>
      </c>
      <c r="C35" s="2049">
        <v>29943049</v>
      </c>
      <c r="D35" s="2049">
        <v>0</v>
      </c>
      <c r="E35" s="2049">
        <v>12736315</v>
      </c>
    </row>
    <row r="36" spans="1:5" ht="28.5" x14ac:dyDescent="0.2">
      <c r="A36" s="2046" t="s">
        <v>1309</v>
      </c>
      <c r="B36" s="2072" t="s">
        <v>1310</v>
      </c>
      <c r="C36" s="2049">
        <v>17030766</v>
      </c>
      <c r="D36" s="2049">
        <v>0</v>
      </c>
      <c r="E36" s="2049">
        <v>3162844</v>
      </c>
    </row>
    <row r="37" spans="1:5" ht="15" x14ac:dyDescent="0.2">
      <c r="A37" s="2046" t="s">
        <v>1311</v>
      </c>
      <c r="B37" s="2072" t="s">
        <v>1312</v>
      </c>
      <c r="C37" s="2049">
        <v>7441426</v>
      </c>
      <c r="D37" s="2049">
        <v>0</v>
      </c>
      <c r="E37" s="2049">
        <v>8169434</v>
      </c>
    </row>
    <row r="38" spans="1:5" ht="15" x14ac:dyDescent="0.2">
      <c r="A38" s="2046" t="s">
        <v>1313</v>
      </c>
      <c r="B38" s="2072" t="s">
        <v>1314</v>
      </c>
      <c r="C38" s="2049">
        <v>3996691</v>
      </c>
      <c r="D38" s="2049">
        <v>0</v>
      </c>
      <c r="E38" s="2049">
        <v>69448</v>
      </c>
    </row>
    <row r="39" spans="1:5" ht="15" x14ac:dyDescent="0.2">
      <c r="A39" s="2046" t="s">
        <v>1315</v>
      </c>
      <c r="B39" s="2072" t="s">
        <v>1316</v>
      </c>
      <c r="C39" s="2049">
        <v>0</v>
      </c>
      <c r="D39" s="2049">
        <v>0</v>
      </c>
      <c r="E39" s="2049">
        <v>46800</v>
      </c>
    </row>
    <row r="40" spans="1:5" ht="15" x14ac:dyDescent="0.2">
      <c r="A40" s="2046" t="s">
        <v>1317</v>
      </c>
      <c r="B40" s="2072" t="s">
        <v>1318</v>
      </c>
      <c r="C40" s="2049">
        <v>1474166</v>
      </c>
      <c r="D40" s="2049">
        <v>0</v>
      </c>
      <c r="E40" s="2049">
        <v>1287789</v>
      </c>
    </row>
    <row r="41" spans="1:5" ht="15" x14ac:dyDescent="0.2">
      <c r="A41" s="2046" t="s">
        <v>1319</v>
      </c>
      <c r="B41" s="2072" t="s">
        <v>1320</v>
      </c>
      <c r="C41" s="2049">
        <v>68318</v>
      </c>
      <c r="D41" s="2049">
        <v>0</v>
      </c>
      <c r="E41" s="2049">
        <v>0</v>
      </c>
    </row>
    <row r="42" spans="1:5" ht="15" x14ac:dyDescent="0.2">
      <c r="A42" s="2046" t="s">
        <v>1321</v>
      </c>
      <c r="B42" s="2072" t="s">
        <v>1322</v>
      </c>
      <c r="C42" s="2049">
        <v>68318</v>
      </c>
      <c r="D42" s="2049">
        <v>0</v>
      </c>
      <c r="E42" s="2049">
        <v>0</v>
      </c>
    </row>
    <row r="43" spans="1:5" ht="28.5" x14ac:dyDescent="0.2">
      <c r="A43" s="2046" t="s">
        <v>1323</v>
      </c>
      <c r="B43" s="2072" t="s">
        <v>1324</v>
      </c>
      <c r="C43" s="2049">
        <v>983920</v>
      </c>
      <c r="D43" s="2049">
        <v>0</v>
      </c>
      <c r="E43" s="2049">
        <v>1021852</v>
      </c>
    </row>
    <row r="44" spans="1:5" ht="28.5" x14ac:dyDescent="0.2">
      <c r="A44" s="2046" t="s">
        <v>1325</v>
      </c>
      <c r="B44" s="2072" t="s">
        <v>1326</v>
      </c>
      <c r="C44" s="2049">
        <v>983920</v>
      </c>
      <c r="D44" s="2049">
        <v>0</v>
      </c>
      <c r="E44" s="2049">
        <v>1021852</v>
      </c>
    </row>
    <row r="45" spans="1:5" ht="15" x14ac:dyDescent="0.2">
      <c r="A45" s="2046" t="s">
        <v>1520</v>
      </c>
      <c r="B45" s="2072" t="s">
        <v>1521</v>
      </c>
      <c r="C45" s="2049">
        <v>0</v>
      </c>
      <c r="D45" s="2049">
        <v>0</v>
      </c>
      <c r="E45" s="2049">
        <v>0</v>
      </c>
    </row>
    <row r="46" spans="1:5" ht="28.5" x14ac:dyDescent="0.2">
      <c r="A46" s="2046" t="s">
        <v>1522</v>
      </c>
      <c r="B46" s="2072" t="s">
        <v>1523</v>
      </c>
      <c r="C46" s="2049">
        <v>0</v>
      </c>
      <c r="D46" s="2049">
        <v>0</v>
      </c>
      <c r="E46" s="2049">
        <v>0</v>
      </c>
    </row>
    <row r="47" spans="1:5" ht="15.75" x14ac:dyDescent="0.2">
      <c r="A47" s="2047" t="s">
        <v>1327</v>
      </c>
      <c r="B47" s="2070" t="s">
        <v>1328</v>
      </c>
      <c r="C47" s="2050">
        <v>55289494</v>
      </c>
      <c r="D47" s="2050">
        <v>0</v>
      </c>
      <c r="E47" s="2050">
        <v>45987728</v>
      </c>
    </row>
    <row r="48" spans="1:5" ht="15" x14ac:dyDescent="0.2">
      <c r="A48" s="2046" t="s">
        <v>1524</v>
      </c>
      <c r="B48" s="2072" t="s">
        <v>1525</v>
      </c>
      <c r="C48" s="2049">
        <v>0</v>
      </c>
      <c r="D48" s="2049">
        <v>0</v>
      </c>
      <c r="E48" s="2049">
        <v>16000</v>
      </c>
    </row>
    <row r="49" spans="1:5" ht="28.5" x14ac:dyDescent="0.2">
      <c r="A49" s="2046" t="s">
        <v>1526</v>
      </c>
      <c r="B49" s="2072" t="s">
        <v>1527</v>
      </c>
      <c r="C49" s="2049">
        <v>0</v>
      </c>
      <c r="D49" s="2049">
        <v>0</v>
      </c>
      <c r="E49" s="2049">
        <v>16000</v>
      </c>
    </row>
    <row r="50" spans="1:5" ht="28.5" x14ac:dyDescent="0.2">
      <c r="A50" s="2046" t="s">
        <v>1329</v>
      </c>
      <c r="B50" s="2072" t="s">
        <v>1330</v>
      </c>
      <c r="C50" s="2049">
        <v>1592502</v>
      </c>
      <c r="D50" s="2049">
        <v>0</v>
      </c>
      <c r="E50" s="2049">
        <v>0</v>
      </c>
    </row>
    <row r="51" spans="1:5" ht="28.5" x14ac:dyDescent="0.2">
      <c r="A51" s="2046" t="s">
        <v>1331</v>
      </c>
      <c r="B51" s="2072" t="s">
        <v>1332</v>
      </c>
      <c r="C51" s="2049">
        <v>1592502</v>
      </c>
      <c r="D51" s="2049">
        <v>0</v>
      </c>
      <c r="E51" s="2049">
        <v>0</v>
      </c>
    </row>
    <row r="52" spans="1:5" ht="15.75" x14ac:dyDescent="0.2">
      <c r="A52" s="2047" t="s">
        <v>1333</v>
      </c>
      <c r="B52" s="2070" t="s">
        <v>1334</v>
      </c>
      <c r="C52" s="2050">
        <v>1592502</v>
      </c>
      <c r="D52" s="2050">
        <v>0</v>
      </c>
      <c r="E52" s="2050">
        <v>16000</v>
      </c>
    </row>
    <row r="53" spans="1:5" ht="15" x14ac:dyDescent="0.2">
      <c r="A53" s="2046" t="s">
        <v>1335</v>
      </c>
      <c r="B53" s="2072" t="s">
        <v>1336</v>
      </c>
      <c r="C53" s="2049">
        <v>0</v>
      </c>
      <c r="D53" s="2049">
        <v>0</v>
      </c>
      <c r="E53" s="2049">
        <v>30480</v>
      </c>
    </row>
    <row r="54" spans="1:5" ht="15" x14ac:dyDescent="0.2">
      <c r="A54" s="2046" t="s">
        <v>1528</v>
      </c>
      <c r="B54" s="2072" t="s">
        <v>1529</v>
      </c>
      <c r="C54" s="2049">
        <v>0</v>
      </c>
      <c r="D54" s="2049">
        <v>0</v>
      </c>
      <c r="E54" s="2049">
        <v>30480</v>
      </c>
    </row>
    <row r="55" spans="1:5" ht="15.75" x14ac:dyDescent="0.2">
      <c r="A55" s="2047" t="s">
        <v>1337</v>
      </c>
      <c r="B55" s="2070" t="s">
        <v>1338</v>
      </c>
      <c r="C55" s="2050">
        <v>0</v>
      </c>
      <c r="D55" s="2050">
        <v>0</v>
      </c>
      <c r="E55" s="2050">
        <v>30480</v>
      </c>
    </row>
    <row r="56" spans="1:5" ht="15.75" x14ac:dyDescent="0.2">
      <c r="A56" s="2047" t="s">
        <v>1339</v>
      </c>
      <c r="B56" s="2070" t="s">
        <v>1340</v>
      </c>
      <c r="C56" s="2050">
        <v>56881996</v>
      </c>
      <c r="D56" s="2050">
        <v>0</v>
      </c>
      <c r="E56" s="2050">
        <v>46034208</v>
      </c>
    </row>
    <row r="57" spans="1:5" ht="15" x14ac:dyDescent="0.2">
      <c r="A57" s="2046" t="s">
        <v>1341</v>
      </c>
      <c r="B57" s="2072" t="s">
        <v>1342</v>
      </c>
      <c r="C57" s="2049">
        <v>6134851</v>
      </c>
      <c r="D57" s="2049">
        <v>0</v>
      </c>
      <c r="E57" s="2049">
        <v>9910429</v>
      </c>
    </row>
    <row r="58" spans="1:5" ht="15" x14ac:dyDescent="0.2">
      <c r="A58" s="2046" t="s">
        <v>1530</v>
      </c>
      <c r="B58" s="2072" t="s">
        <v>1531</v>
      </c>
      <c r="C58" s="2049">
        <v>0</v>
      </c>
      <c r="D58" s="2049">
        <v>0</v>
      </c>
      <c r="E58" s="2049">
        <v>10082815</v>
      </c>
    </row>
    <row r="59" spans="1:5" ht="15.75" x14ac:dyDescent="0.2">
      <c r="A59" s="2047" t="s">
        <v>1343</v>
      </c>
      <c r="B59" s="2070" t="s">
        <v>1344</v>
      </c>
      <c r="C59" s="2050">
        <v>6134851</v>
      </c>
      <c r="D59" s="2050">
        <v>0</v>
      </c>
      <c r="E59" s="2050">
        <v>19993244</v>
      </c>
    </row>
    <row r="60" spans="1:5" ht="15" x14ac:dyDescent="0.2">
      <c r="A60" s="2046" t="s">
        <v>1345</v>
      </c>
      <c r="B60" s="2072" t="s">
        <v>1346</v>
      </c>
      <c r="C60" s="2049">
        <v>-6094146</v>
      </c>
      <c r="D60" s="2049">
        <v>0</v>
      </c>
      <c r="E60" s="2049">
        <v>-18795004</v>
      </c>
    </row>
    <row r="61" spans="1:5" ht="15.75" x14ac:dyDescent="0.2">
      <c r="A61" s="2047" t="s">
        <v>1347</v>
      </c>
      <c r="B61" s="2070" t="s">
        <v>1348</v>
      </c>
      <c r="C61" s="2050">
        <v>-6094146</v>
      </c>
      <c r="D61" s="2050">
        <v>0</v>
      </c>
      <c r="E61" s="2050">
        <v>-18795004</v>
      </c>
    </row>
    <row r="62" spans="1:5" ht="15" x14ac:dyDescent="0.2">
      <c r="A62" s="2046" t="s">
        <v>1349</v>
      </c>
      <c r="B62" s="2072" t="s">
        <v>1350</v>
      </c>
      <c r="C62" s="2049">
        <v>4042491</v>
      </c>
      <c r="D62" s="2049">
        <v>0</v>
      </c>
      <c r="E62" s="2049">
        <v>7792070</v>
      </c>
    </row>
    <row r="63" spans="1:5" ht="28.5" x14ac:dyDescent="0.2">
      <c r="A63" s="2046" t="s">
        <v>1351</v>
      </c>
      <c r="B63" s="2072" t="s">
        <v>1352</v>
      </c>
      <c r="C63" s="2049">
        <v>12795</v>
      </c>
      <c r="D63" s="2049">
        <v>0</v>
      </c>
      <c r="E63" s="2049">
        <v>169110</v>
      </c>
    </row>
    <row r="64" spans="1:5" ht="15.75" x14ac:dyDescent="0.2">
      <c r="A64" s="2047" t="s">
        <v>1353</v>
      </c>
      <c r="B64" s="2070" t="s">
        <v>1354</v>
      </c>
      <c r="C64" s="2050">
        <v>4055286</v>
      </c>
      <c r="D64" s="2050">
        <v>0</v>
      </c>
      <c r="E64" s="2050">
        <v>7961180</v>
      </c>
    </row>
    <row r="65" spans="1:5" ht="15.75" x14ac:dyDescent="0.2">
      <c r="A65" s="2047" t="s">
        <v>1355</v>
      </c>
      <c r="B65" s="2070" t="s">
        <v>1356</v>
      </c>
      <c r="C65" s="2050">
        <v>4095991</v>
      </c>
      <c r="D65" s="2050">
        <v>0</v>
      </c>
      <c r="E65" s="2050">
        <v>9159420</v>
      </c>
    </row>
    <row r="66" spans="1:5" ht="15" x14ac:dyDescent="0.2">
      <c r="A66" s="2046" t="s">
        <v>1357</v>
      </c>
      <c r="B66" s="2072" t="s">
        <v>1358</v>
      </c>
      <c r="C66" s="2049">
        <v>161286</v>
      </c>
      <c r="D66" s="2049">
        <v>0</v>
      </c>
      <c r="E66" s="2049">
        <v>80907</v>
      </c>
    </row>
    <row r="67" spans="1:5" ht="15.75" x14ac:dyDescent="0.2">
      <c r="A67" s="2047" t="s">
        <v>1359</v>
      </c>
      <c r="B67" s="2070" t="s">
        <v>1360</v>
      </c>
      <c r="C67" s="2050">
        <v>161286</v>
      </c>
      <c r="D67" s="2050">
        <v>0</v>
      </c>
      <c r="E67" s="2050">
        <v>80907</v>
      </c>
    </row>
    <row r="68" spans="1:5" ht="15.75" x14ac:dyDescent="0.2">
      <c r="A68" s="2048" t="s">
        <v>1361</v>
      </c>
      <c r="B68" s="2163" t="s">
        <v>1362</v>
      </c>
      <c r="C68" s="2051">
        <v>17380939853</v>
      </c>
      <c r="D68" s="2051">
        <v>0</v>
      </c>
      <c r="E68" s="2051">
        <v>17269466375</v>
      </c>
    </row>
    <row r="69" spans="1:5" ht="18.75" x14ac:dyDescent="0.3">
      <c r="A69" s="2593" t="str">
        <f>A1</f>
        <v>Pilisvörösvár Város Önkormányzata Képviselő-testületének 7/2018. (IV. 27.) önkormányzati rendelete</v>
      </c>
      <c r="B69" s="2594"/>
      <c r="C69" s="2594"/>
      <c r="D69" s="2594"/>
      <c r="E69" s="2594"/>
    </row>
    <row r="70" spans="1:5" ht="18.75" x14ac:dyDescent="0.3">
      <c r="A70" s="2593" t="str">
        <f t="shared" ref="A70:A71" si="0">A2</f>
        <v>az Önkormányzat  2017. évi zárszámadásáról</v>
      </c>
      <c r="B70" s="2594"/>
      <c r="C70" s="2594"/>
      <c r="D70" s="2594"/>
      <c r="E70" s="2594"/>
    </row>
    <row r="71" spans="1:5" ht="18.75" x14ac:dyDescent="0.3">
      <c r="A71" s="2593" t="str">
        <f t="shared" si="0"/>
        <v>Pilisvörösvár Város Önkormányzatának 2017. évi mérlege</v>
      </c>
      <c r="B71" s="2594"/>
      <c r="C71" s="2594"/>
      <c r="D71" s="2594"/>
      <c r="E71" s="2594"/>
    </row>
    <row r="72" spans="1:5" ht="18.75" x14ac:dyDescent="0.3">
      <c r="A72" s="2054"/>
      <c r="B72" s="2055"/>
      <c r="C72" s="2056"/>
      <c r="D72" s="2056"/>
      <c r="E72" s="2053" t="s">
        <v>1363</v>
      </c>
    </row>
    <row r="73" spans="1:5" ht="18.75" x14ac:dyDescent="0.3">
      <c r="A73" s="2054"/>
      <c r="B73" s="2055"/>
      <c r="C73" s="2056"/>
      <c r="D73" s="2056"/>
      <c r="E73" s="1932" t="s">
        <v>806</v>
      </c>
    </row>
    <row r="74" spans="1:5" ht="30" x14ac:dyDescent="0.2">
      <c r="A74" s="2045" t="s">
        <v>1513</v>
      </c>
      <c r="B74" s="2045" t="s">
        <v>359</v>
      </c>
      <c r="C74" s="2045" t="s">
        <v>1270</v>
      </c>
      <c r="D74" s="2045" t="s">
        <v>1514</v>
      </c>
      <c r="E74" s="2045" t="s">
        <v>1271</v>
      </c>
    </row>
    <row r="75" spans="1:5" ht="15" x14ac:dyDescent="0.2">
      <c r="A75" s="2046" t="s">
        <v>1364</v>
      </c>
      <c r="B75" s="2072" t="s">
        <v>1365</v>
      </c>
      <c r="C75" s="2049">
        <v>17850629558</v>
      </c>
      <c r="D75" s="2049">
        <v>0</v>
      </c>
      <c r="E75" s="2049">
        <v>17850629558</v>
      </c>
    </row>
    <row r="76" spans="1:5" ht="15" x14ac:dyDescent="0.2">
      <c r="A76" s="2046" t="s">
        <v>1532</v>
      </c>
      <c r="B76" s="2072" t="s">
        <v>1533</v>
      </c>
      <c r="C76" s="2049">
        <v>0</v>
      </c>
      <c r="D76" s="2049">
        <v>0</v>
      </c>
      <c r="E76" s="2049">
        <v>-165321348</v>
      </c>
    </row>
    <row r="77" spans="1:5" ht="15" x14ac:dyDescent="0.2">
      <c r="A77" s="2046" t="s">
        <v>1366</v>
      </c>
      <c r="B77" s="2072" t="s">
        <v>1367</v>
      </c>
      <c r="C77" s="2049">
        <v>226265631</v>
      </c>
      <c r="D77" s="2049">
        <v>0</v>
      </c>
      <c r="E77" s="2049">
        <v>226265631</v>
      </c>
    </row>
    <row r="78" spans="1:5" ht="15.75" x14ac:dyDescent="0.2">
      <c r="A78" s="2047" t="s">
        <v>1368</v>
      </c>
      <c r="B78" s="2070" t="s">
        <v>1369</v>
      </c>
      <c r="C78" s="2050">
        <v>226265631</v>
      </c>
      <c r="D78" s="2050">
        <v>0</v>
      </c>
      <c r="E78" s="2050">
        <v>226265631</v>
      </c>
    </row>
    <row r="79" spans="1:5" ht="15" x14ac:dyDescent="0.2">
      <c r="A79" s="2046" t="s">
        <v>1370</v>
      </c>
      <c r="B79" s="2072" t="s">
        <v>1371</v>
      </c>
      <c r="C79" s="2049">
        <v>-775055637</v>
      </c>
      <c r="D79" s="2049">
        <v>0</v>
      </c>
      <c r="E79" s="2049">
        <v>-868334887</v>
      </c>
    </row>
    <row r="80" spans="1:5" ht="15" x14ac:dyDescent="0.2">
      <c r="A80" s="2046" t="s">
        <v>1372</v>
      </c>
      <c r="B80" s="2072" t="s">
        <v>1373</v>
      </c>
      <c r="C80" s="2049">
        <v>-93279249</v>
      </c>
      <c r="D80" s="2049">
        <v>0</v>
      </c>
      <c r="E80" s="2049">
        <v>37699086</v>
      </c>
    </row>
    <row r="81" spans="1:5" ht="15.75" x14ac:dyDescent="0.2">
      <c r="A81" s="2047" t="s">
        <v>1374</v>
      </c>
      <c r="B81" s="2070" t="s">
        <v>1375</v>
      </c>
      <c r="C81" s="2050">
        <v>17208560303</v>
      </c>
      <c r="D81" s="2050">
        <v>0</v>
      </c>
      <c r="E81" s="2050">
        <v>17080938040</v>
      </c>
    </row>
    <row r="82" spans="1:5" ht="15" x14ac:dyDescent="0.2">
      <c r="A82" s="2046" t="s">
        <v>1376</v>
      </c>
      <c r="B82" s="2072" t="s">
        <v>1377</v>
      </c>
      <c r="C82" s="2049">
        <v>2532</v>
      </c>
      <c r="D82" s="2049">
        <v>0</v>
      </c>
      <c r="E82" s="2049">
        <v>0</v>
      </c>
    </row>
    <row r="83" spans="1:5" ht="15" x14ac:dyDescent="0.2">
      <c r="A83" s="2046" t="s">
        <v>1378</v>
      </c>
      <c r="B83" s="2072" t="s">
        <v>1379</v>
      </c>
      <c r="C83" s="2049">
        <v>9814745</v>
      </c>
      <c r="D83" s="2049">
        <v>0</v>
      </c>
      <c r="E83" s="2049">
        <v>1441402</v>
      </c>
    </row>
    <row r="84" spans="1:5" ht="15" x14ac:dyDescent="0.2">
      <c r="A84" s="2046" t="s">
        <v>1380</v>
      </c>
      <c r="B84" s="2072" t="s">
        <v>1381</v>
      </c>
      <c r="C84" s="2049">
        <v>199638</v>
      </c>
      <c r="D84" s="2049">
        <v>0</v>
      </c>
      <c r="E84" s="2049">
        <v>0</v>
      </c>
    </row>
    <row r="85" spans="1:5" ht="15" x14ac:dyDescent="0.2">
      <c r="A85" s="2046" t="s">
        <v>1382</v>
      </c>
      <c r="B85" s="2072" t="s">
        <v>1383</v>
      </c>
      <c r="C85" s="2049">
        <v>3215142</v>
      </c>
      <c r="D85" s="2049">
        <v>0</v>
      </c>
      <c r="E85" s="2049">
        <v>1031709</v>
      </c>
    </row>
    <row r="86" spans="1:5" ht="15" x14ac:dyDescent="0.2">
      <c r="A86" s="2046" t="s">
        <v>1384</v>
      </c>
      <c r="B86" s="2072" t="s">
        <v>1385</v>
      </c>
      <c r="C86" s="2049">
        <v>0</v>
      </c>
      <c r="D86" s="2049">
        <v>0</v>
      </c>
      <c r="E86" s="2049">
        <v>339068</v>
      </c>
    </row>
    <row r="87" spans="1:5" ht="15.75" x14ac:dyDescent="0.2">
      <c r="A87" s="2047" t="s">
        <v>1386</v>
      </c>
      <c r="B87" s="2070" t="s">
        <v>1387</v>
      </c>
      <c r="C87" s="2050">
        <v>13232057</v>
      </c>
      <c r="D87" s="2050">
        <v>0</v>
      </c>
      <c r="E87" s="2050">
        <v>2812179</v>
      </c>
    </row>
    <row r="88" spans="1:5" ht="15" x14ac:dyDescent="0.2">
      <c r="A88" s="2046" t="s">
        <v>1388</v>
      </c>
      <c r="B88" s="2072" t="s">
        <v>1389</v>
      </c>
      <c r="C88" s="2049">
        <v>8756443</v>
      </c>
      <c r="D88" s="2049">
        <v>0</v>
      </c>
      <c r="E88" s="2049">
        <v>12271037</v>
      </c>
    </row>
    <row r="89" spans="1:5" ht="28.5" x14ac:dyDescent="0.2">
      <c r="A89" s="2046" t="s">
        <v>1534</v>
      </c>
      <c r="B89" s="2072" t="s">
        <v>1535</v>
      </c>
      <c r="C89" s="2049">
        <v>0</v>
      </c>
      <c r="D89" s="2049">
        <v>0</v>
      </c>
      <c r="E89" s="2049">
        <v>8606263</v>
      </c>
    </row>
    <row r="90" spans="1:5" ht="15" x14ac:dyDescent="0.2">
      <c r="A90" s="2046" t="s">
        <v>1536</v>
      </c>
      <c r="B90" s="2072" t="s">
        <v>1537</v>
      </c>
      <c r="C90" s="2049">
        <v>0</v>
      </c>
      <c r="D90" s="2049">
        <v>0</v>
      </c>
      <c r="E90" s="2049">
        <v>3217942</v>
      </c>
    </row>
    <row r="91" spans="1:5" ht="15" x14ac:dyDescent="0.2">
      <c r="A91" s="2046" t="s">
        <v>1390</v>
      </c>
      <c r="B91" s="2072" t="s">
        <v>1391</v>
      </c>
      <c r="C91" s="2049">
        <v>29194597</v>
      </c>
      <c r="D91" s="2049">
        <v>0</v>
      </c>
      <c r="E91" s="2049">
        <v>20704139</v>
      </c>
    </row>
    <row r="92" spans="1:5" ht="28.5" x14ac:dyDescent="0.2">
      <c r="A92" s="2046" t="s">
        <v>1392</v>
      </c>
      <c r="B92" s="2072" t="s">
        <v>1393</v>
      </c>
      <c r="C92" s="2049">
        <v>9239640</v>
      </c>
      <c r="D92" s="2049">
        <v>0</v>
      </c>
      <c r="E92" s="2049">
        <v>7919640</v>
      </c>
    </row>
    <row r="93" spans="1:5" ht="28.5" x14ac:dyDescent="0.2">
      <c r="A93" s="2046" t="s">
        <v>1394</v>
      </c>
      <c r="B93" s="2072" t="s">
        <v>1395</v>
      </c>
      <c r="C93" s="2049">
        <v>19954957</v>
      </c>
      <c r="D93" s="2049">
        <v>0</v>
      </c>
      <c r="E93" s="2049">
        <v>12784499</v>
      </c>
    </row>
    <row r="94" spans="1:5" ht="15.75" x14ac:dyDescent="0.2">
      <c r="A94" s="2047" t="s">
        <v>1396</v>
      </c>
      <c r="B94" s="2070" t="s">
        <v>1397</v>
      </c>
      <c r="C94" s="2050">
        <v>37951040</v>
      </c>
      <c r="D94" s="2050">
        <v>0</v>
      </c>
      <c r="E94" s="2050">
        <v>44799381</v>
      </c>
    </row>
    <row r="95" spans="1:5" ht="15" x14ac:dyDescent="0.2">
      <c r="A95" s="2046" t="s">
        <v>1398</v>
      </c>
      <c r="B95" s="2072" t="s">
        <v>1399</v>
      </c>
      <c r="C95" s="2049">
        <v>110063656</v>
      </c>
      <c r="D95" s="2049">
        <v>0</v>
      </c>
      <c r="E95" s="2049">
        <v>99093766</v>
      </c>
    </row>
    <row r="96" spans="1:5" ht="15" x14ac:dyDescent="0.2">
      <c r="A96" s="2046" t="s">
        <v>1400</v>
      </c>
      <c r="B96" s="2072" t="s">
        <v>1401</v>
      </c>
      <c r="C96" s="2049">
        <v>1409529</v>
      </c>
      <c r="D96" s="2049">
        <v>0</v>
      </c>
      <c r="E96" s="2049">
        <v>1055216</v>
      </c>
    </row>
    <row r="97" spans="1:5" ht="15" x14ac:dyDescent="0.2">
      <c r="A97" s="2046" t="s">
        <v>1402</v>
      </c>
      <c r="B97" s="2072" t="s">
        <v>1403</v>
      </c>
      <c r="C97" s="2049">
        <v>9108</v>
      </c>
      <c r="D97" s="2049">
        <v>0</v>
      </c>
      <c r="E97" s="2049">
        <v>1062237</v>
      </c>
    </row>
    <row r="98" spans="1:5" ht="15" x14ac:dyDescent="0.2">
      <c r="A98" s="2046" t="s">
        <v>1404</v>
      </c>
      <c r="B98" s="2072" t="s">
        <v>1405</v>
      </c>
      <c r="C98" s="2049">
        <v>6187878</v>
      </c>
      <c r="D98" s="2049">
        <v>0</v>
      </c>
      <c r="E98" s="2049">
        <v>12545487</v>
      </c>
    </row>
    <row r="99" spans="1:5" ht="15.75" x14ac:dyDescent="0.2">
      <c r="A99" s="2047" t="s">
        <v>1406</v>
      </c>
      <c r="B99" s="2070" t="s">
        <v>1407</v>
      </c>
      <c r="C99" s="2050">
        <v>117670171</v>
      </c>
      <c r="D99" s="2050">
        <v>0</v>
      </c>
      <c r="E99" s="2050">
        <v>113756706</v>
      </c>
    </row>
    <row r="100" spans="1:5" ht="15.75" x14ac:dyDescent="0.2">
      <c r="A100" s="2047" t="s">
        <v>1408</v>
      </c>
      <c r="B100" s="2070" t="s">
        <v>1409</v>
      </c>
      <c r="C100" s="2050">
        <v>168853268</v>
      </c>
      <c r="D100" s="2050">
        <v>0</v>
      </c>
      <c r="E100" s="2050">
        <v>161368266</v>
      </c>
    </row>
    <row r="101" spans="1:5" ht="15" x14ac:dyDescent="0.2">
      <c r="A101" s="2046" t="s">
        <v>1538</v>
      </c>
      <c r="B101" s="2072" t="s">
        <v>1539</v>
      </c>
      <c r="C101" s="2049">
        <v>0</v>
      </c>
      <c r="D101" s="2049">
        <v>0</v>
      </c>
      <c r="E101" s="2049">
        <v>6840000</v>
      </c>
    </row>
    <row r="102" spans="1:5" ht="15" x14ac:dyDescent="0.2">
      <c r="A102" s="2046" t="s">
        <v>1410</v>
      </c>
      <c r="B102" s="2072" t="s">
        <v>1411</v>
      </c>
      <c r="C102" s="2049">
        <v>3226282</v>
      </c>
      <c r="D102" s="2049">
        <v>0</v>
      </c>
      <c r="E102" s="2049">
        <v>7086649</v>
      </c>
    </row>
    <row r="103" spans="1:5" ht="15" x14ac:dyDescent="0.2">
      <c r="A103" s="2046" t="s">
        <v>1412</v>
      </c>
      <c r="B103" s="2072" t="s">
        <v>1413</v>
      </c>
      <c r="C103" s="2049">
        <v>300000</v>
      </c>
      <c r="D103" s="2049">
        <v>0</v>
      </c>
      <c r="E103" s="2049">
        <v>13233420</v>
      </c>
    </row>
    <row r="104" spans="1:5" ht="15.75" x14ac:dyDescent="0.2">
      <c r="A104" s="2047" t="s">
        <v>1414</v>
      </c>
      <c r="B104" s="2070" t="s">
        <v>1415</v>
      </c>
      <c r="C104" s="2050">
        <v>3526282</v>
      </c>
      <c r="D104" s="2050">
        <v>0</v>
      </c>
      <c r="E104" s="2050">
        <v>27160069</v>
      </c>
    </row>
    <row r="105" spans="1:5" ht="15.75" x14ac:dyDescent="0.2">
      <c r="A105" s="2048" t="s">
        <v>1416</v>
      </c>
      <c r="B105" s="2163" t="s">
        <v>1417</v>
      </c>
      <c r="C105" s="2051">
        <v>17380939853</v>
      </c>
      <c r="D105" s="2051">
        <v>0</v>
      </c>
      <c r="E105" s="2051">
        <v>17269466375</v>
      </c>
    </row>
  </sheetData>
  <mergeCells count="6">
    <mergeCell ref="A71:E71"/>
    <mergeCell ref="A1:E1"/>
    <mergeCell ref="A2:E2"/>
    <mergeCell ref="A3:E3"/>
    <mergeCell ref="A69:E69"/>
    <mergeCell ref="A70:E70"/>
  </mergeCells>
  <pageMargins left="0.75" right="0.75" top="1" bottom="1" header="0.5" footer="0.5"/>
  <pageSetup scale="54" fitToHeight="0" orientation="portrait" horizontalDpi="300" verticalDpi="300" r:id="rId1"/>
  <headerFooter alignWithMargins="0"/>
  <rowBreaks count="1" manualBreakCount="1">
    <brk id="68"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150"/>
  <sheetViews>
    <sheetView view="pageBreakPreview" zoomScale="90" zoomScaleNormal="100" zoomScaleSheetLayoutView="90" workbookViewId="0">
      <selection activeCell="A2" sqref="A2:O2"/>
    </sheetView>
  </sheetViews>
  <sheetFormatPr defaultRowHeight="15" x14ac:dyDescent="0.25"/>
  <cols>
    <col min="1" max="1" width="4.85546875" style="2208" customWidth="1"/>
    <col min="2" max="2" width="5.5703125" style="2208" customWidth="1"/>
    <col min="3" max="3" width="9.140625" style="2208" customWidth="1"/>
    <col min="4" max="4" width="68.85546875" style="2208" customWidth="1"/>
    <col min="5" max="5" width="12.5703125" style="2209" hidden="1" customWidth="1"/>
    <col min="6" max="6" width="12.5703125" style="2210" hidden="1" customWidth="1"/>
    <col min="7" max="7" width="12.5703125" style="2210" customWidth="1"/>
    <col min="8" max="8" width="12.5703125" style="2165" customWidth="1"/>
    <col min="9" max="14" width="12.5703125" style="2166" customWidth="1"/>
    <col min="15" max="15" width="12.5703125" style="2167" customWidth="1"/>
    <col min="16" max="17" width="12.5703125" style="2164" customWidth="1"/>
    <col min="18" max="16384" width="9.140625" style="2164"/>
  </cols>
  <sheetData>
    <row r="1" spans="1:15" ht="18.75" x14ac:dyDescent="0.3">
      <c r="A1" s="2598" t="str">
        <f>'26. egysz mérleg'!A1:H1</f>
        <v>Pilisvörösvár Város Önkormányzata Képviselő-testületének 7/2018. (IV. 27.) önkormányzati rendelete</v>
      </c>
      <c r="B1" s="2598"/>
      <c r="C1" s="2598"/>
      <c r="D1" s="2598"/>
      <c r="E1" s="2598"/>
      <c r="F1" s="2598"/>
      <c r="G1" s="2598"/>
      <c r="H1" s="2598"/>
      <c r="I1" s="2598"/>
      <c r="J1" s="2598"/>
      <c r="K1" s="2598"/>
      <c r="L1" s="2598"/>
      <c r="M1" s="2598"/>
      <c r="N1" s="2598"/>
      <c r="O1" s="2598"/>
    </row>
    <row r="2" spans="1:15" ht="18.75" x14ac:dyDescent="0.3">
      <c r="A2" s="2598" t="str">
        <f>'26. egysz mérleg'!A2:H2</f>
        <v>az Önkormányzat  2017. évi zárszámadásáról</v>
      </c>
      <c r="B2" s="2598"/>
      <c r="C2" s="2598"/>
      <c r="D2" s="2598"/>
      <c r="E2" s="2598"/>
      <c r="F2" s="2598"/>
      <c r="G2" s="2598"/>
      <c r="H2" s="2598"/>
      <c r="I2" s="2598"/>
      <c r="J2" s="2598"/>
      <c r="K2" s="2598"/>
      <c r="L2" s="2598"/>
      <c r="M2" s="2598"/>
      <c r="N2" s="2598"/>
      <c r="O2" s="2598"/>
    </row>
    <row r="3" spans="1:15" ht="18.75" x14ac:dyDescent="0.3">
      <c r="A3" s="2598" t="s">
        <v>1115</v>
      </c>
      <c r="B3" s="2598"/>
      <c r="C3" s="2598"/>
      <c r="D3" s="2598"/>
      <c r="E3" s="2598"/>
      <c r="F3" s="2598"/>
      <c r="G3" s="2598"/>
      <c r="H3" s="2598"/>
      <c r="I3" s="2598"/>
      <c r="J3" s="2598"/>
      <c r="K3" s="2598"/>
      <c r="L3" s="2598"/>
      <c r="M3" s="2598"/>
      <c r="N3" s="2598"/>
      <c r="O3" s="2598"/>
    </row>
    <row r="5" spans="1:15" ht="18.75" x14ac:dyDescent="0.3">
      <c r="A5" s="2598" t="s">
        <v>1541</v>
      </c>
      <c r="B5" s="2598"/>
      <c r="C5" s="2598"/>
      <c r="D5" s="2598"/>
      <c r="E5" s="2598"/>
      <c r="F5" s="2598"/>
      <c r="G5" s="2598"/>
      <c r="H5" s="2598"/>
      <c r="I5" s="2598"/>
      <c r="J5" s="2598"/>
      <c r="K5" s="2598"/>
      <c r="L5" s="2598"/>
      <c r="M5" s="2598"/>
      <c r="N5" s="2598"/>
      <c r="O5" s="2598"/>
    </row>
    <row r="6" spans="1:15" ht="18.75" x14ac:dyDescent="0.3">
      <c r="A6" s="2601" t="s">
        <v>1418</v>
      </c>
      <c r="B6" s="2601"/>
      <c r="C6" s="2601"/>
      <c r="D6" s="2601"/>
      <c r="E6" s="2601"/>
      <c r="F6" s="2601"/>
      <c r="G6" s="2601"/>
      <c r="H6" s="2601"/>
      <c r="I6" s="2601"/>
      <c r="J6" s="2601"/>
      <c r="K6" s="2601"/>
      <c r="L6" s="2601"/>
      <c r="M6" s="2601"/>
      <c r="N6" s="2601"/>
      <c r="O6" s="2601"/>
    </row>
    <row r="7" spans="1:15" ht="18.75" x14ac:dyDescent="0.3">
      <c r="A7" s="2168"/>
      <c r="B7" s="2168"/>
      <c r="C7" s="2168"/>
      <c r="D7" s="2168"/>
      <c r="E7" s="2169"/>
      <c r="F7" s="2170"/>
      <c r="G7" s="2170"/>
      <c r="H7" s="2171"/>
      <c r="O7" s="2053" t="s">
        <v>1419</v>
      </c>
    </row>
    <row r="8" spans="1:15" ht="18.75" x14ac:dyDescent="0.3">
      <c r="A8" s="2168"/>
      <c r="B8" s="2168"/>
      <c r="C8" s="2168"/>
      <c r="D8" s="2168"/>
      <c r="E8" s="2169"/>
      <c r="F8" s="2170"/>
      <c r="G8" s="2170"/>
      <c r="H8" s="2171"/>
      <c r="O8" s="2053" t="s">
        <v>323</v>
      </c>
    </row>
    <row r="9" spans="1:15" ht="17.25" customHeight="1" x14ac:dyDescent="0.25">
      <c r="A9" s="2602" t="s">
        <v>1221</v>
      </c>
      <c r="B9" s="2602"/>
      <c r="C9" s="2602"/>
      <c r="D9" s="2602"/>
      <c r="E9" s="2603" t="s">
        <v>1420</v>
      </c>
      <c r="F9" s="2603"/>
      <c r="G9" s="2603"/>
      <c r="H9" s="2603"/>
      <c r="I9" s="2603"/>
      <c r="J9" s="2603"/>
      <c r="K9" s="2603"/>
      <c r="L9" s="2603"/>
      <c r="M9" s="2603"/>
      <c r="N9" s="2603"/>
      <c r="O9" s="2603"/>
    </row>
    <row r="10" spans="1:15" ht="47.25" x14ac:dyDescent="0.25">
      <c r="A10" s="2602"/>
      <c r="B10" s="2602"/>
      <c r="C10" s="2602"/>
      <c r="D10" s="2602"/>
      <c r="E10" s="2172" t="s">
        <v>1421</v>
      </c>
      <c r="F10" s="2173" t="s">
        <v>1422</v>
      </c>
      <c r="G10" s="2173" t="s">
        <v>1421</v>
      </c>
      <c r="H10" s="2173" t="s">
        <v>1423</v>
      </c>
      <c r="I10" s="2174" t="s">
        <v>568</v>
      </c>
      <c r="J10" s="2174" t="s">
        <v>1424</v>
      </c>
      <c r="K10" s="2174" t="s">
        <v>1425</v>
      </c>
      <c r="L10" s="2174" t="s">
        <v>566</v>
      </c>
      <c r="M10" s="2175" t="s">
        <v>910</v>
      </c>
      <c r="N10" s="2174" t="s">
        <v>1426</v>
      </c>
      <c r="O10" s="2175" t="s">
        <v>1427</v>
      </c>
    </row>
    <row r="11" spans="1:15" ht="15.75" x14ac:dyDescent="0.25">
      <c r="A11" s="2176" t="s">
        <v>1227</v>
      </c>
      <c r="B11" s="2176" t="s">
        <v>1428</v>
      </c>
      <c r="C11" s="2176"/>
      <c r="D11" s="2176"/>
      <c r="E11" s="2177">
        <f>SUM(E12,E24,E42,E59)</f>
        <v>16671552</v>
      </c>
      <c r="F11" s="2178">
        <f>SUM(F12,F24,F42,F59)</f>
        <v>0</v>
      </c>
      <c r="G11" s="2178">
        <f>SUM(E11:F11)</f>
        <v>16671552</v>
      </c>
      <c r="H11" s="2178">
        <f t="shared" ref="H11:N11" si="0">SUM(H12,H24,H42,H59)</f>
        <v>19281</v>
      </c>
      <c r="I11" s="2179">
        <f>SUM(I12,I24,I42,I59)</f>
        <v>0</v>
      </c>
      <c r="J11" s="2179">
        <f t="shared" si="0"/>
        <v>61</v>
      </c>
      <c r="K11" s="2179">
        <f t="shared" si="0"/>
        <v>0</v>
      </c>
      <c r="L11" s="2179">
        <f t="shared" si="0"/>
        <v>3381</v>
      </c>
      <c r="M11" s="2180">
        <f t="shared" si="0"/>
        <v>0</v>
      </c>
      <c r="N11" s="2179">
        <f t="shared" si="0"/>
        <v>11246</v>
      </c>
      <c r="O11" s="2180">
        <f>SUM(G11:N11)</f>
        <v>16705521</v>
      </c>
    </row>
    <row r="12" spans="1:15" ht="15.75" x14ac:dyDescent="0.25">
      <c r="A12" s="2176"/>
      <c r="B12" s="2181" t="s">
        <v>482</v>
      </c>
      <c r="C12" s="2604" t="s">
        <v>1187</v>
      </c>
      <c r="D12" s="2604"/>
      <c r="E12" s="2177">
        <f>SUM(E13,E18,E23)</f>
        <v>70780</v>
      </c>
      <c r="F12" s="2178">
        <f>SUM(F13,F18,F23)</f>
        <v>0</v>
      </c>
      <c r="G12" s="2178">
        <f t="shared" ref="G12:G75" si="1">SUM(E12:F12)</f>
        <v>70780</v>
      </c>
      <c r="H12" s="2178">
        <f t="shared" ref="H12:N12" si="2">SUM(H13,H18,H23)</f>
        <v>0</v>
      </c>
      <c r="I12" s="2179">
        <f t="shared" si="2"/>
        <v>0</v>
      </c>
      <c r="J12" s="2179">
        <f t="shared" si="2"/>
        <v>0</v>
      </c>
      <c r="K12" s="2179">
        <f t="shared" si="2"/>
        <v>0</v>
      </c>
      <c r="L12" s="2179">
        <f t="shared" si="2"/>
        <v>0</v>
      </c>
      <c r="M12" s="2180">
        <f t="shared" si="2"/>
        <v>0</v>
      </c>
      <c r="N12" s="2179">
        <f t="shared" si="2"/>
        <v>390</v>
      </c>
      <c r="O12" s="2180">
        <f>SUM(G12:N12)</f>
        <v>71170</v>
      </c>
    </row>
    <row r="13" spans="1:15" ht="15.75" x14ac:dyDescent="0.25">
      <c r="A13" s="2176"/>
      <c r="B13" s="2176"/>
      <c r="C13" s="2182" t="s">
        <v>1429</v>
      </c>
      <c r="D13" s="2182" t="s">
        <v>1430</v>
      </c>
      <c r="E13" s="2183">
        <f>SUM(E14:E17)</f>
        <v>0</v>
      </c>
      <c r="F13" s="2184">
        <f>SUM(F14:F17)</f>
        <v>0</v>
      </c>
      <c r="G13" s="2184">
        <f t="shared" si="1"/>
        <v>0</v>
      </c>
      <c r="H13" s="2184">
        <f t="shared" ref="H13:N13" si="3">SUM(H14:H17)</f>
        <v>0</v>
      </c>
      <c r="I13" s="2185">
        <f t="shared" si="3"/>
        <v>0</v>
      </c>
      <c r="J13" s="2185">
        <f t="shared" si="3"/>
        <v>0</v>
      </c>
      <c r="K13" s="2185">
        <f t="shared" si="3"/>
        <v>0</v>
      </c>
      <c r="L13" s="2185">
        <f t="shared" si="3"/>
        <v>0</v>
      </c>
      <c r="M13" s="2186">
        <f t="shared" si="3"/>
        <v>0</v>
      </c>
      <c r="N13" s="2185">
        <f t="shared" si="3"/>
        <v>390</v>
      </c>
      <c r="O13" s="2186">
        <f>SUM(G13:N13)</f>
        <v>390</v>
      </c>
    </row>
    <row r="14" spans="1:15" ht="15.75" x14ac:dyDescent="0.25">
      <c r="A14" s="2176"/>
      <c r="B14" s="2176"/>
      <c r="C14" s="2176" t="s">
        <v>1431</v>
      </c>
      <c r="D14" s="2176" t="s">
        <v>1432</v>
      </c>
      <c r="E14" s="2187">
        <v>0</v>
      </c>
      <c r="F14" s="2188">
        <v>0</v>
      </c>
      <c r="G14" s="2188">
        <f t="shared" si="1"/>
        <v>0</v>
      </c>
      <c r="H14" s="2188">
        <v>0</v>
      </c>
      <c r="I14" s="2189">
        <v>0</v>
      </c>
      <c r="J14" s="2189">
        <v>0</v>
      </c>
      <c r="K14" s="2189">
        <v>0</v>
      </c>
      <c r="L14" s="2189">
        <v>0</v>
      </c>
      <c r="M14" s="2190">
        <v>0</v>
      </c>
      <c r="N14" s="2189">
        <v>0</v>
      </c>
      <c r="O14" s="2190">
        <f t="shared" ref="O14:O77" si="4">SUM(G14:N14)</f>
        <v>0</v>
      </c>
    </row>
    <row r="15" spans="1:15" ht="15.75" x14ac:dyDescent="0.25">
      <c r="A15" s="2176"/>
      <c r="B15" s="2176"/>
      <c r="C15" s="2176" t="s">
        <v>1433</v>
      </c>
      <c r="D15" s="2176" t="s">
        <v>1434</v>
      </c>
      <c r="E15" s="2187">
        <v>0</v>
      </c>
      <c r="F15" s="2188">
        <v>0</v>
      </c>
      <c r="G15" s="2188">
        <f t="shared" si="1"/>
        <v>0</v>
      </c>
      <c r="H15" s="2188">
        <v>0</v>
      </c>
      <c r="I15" s="2189">
        <v>0</v>
      </c>
      <c r="J15" s="2189">
        <v>0</v>
      </c>
      <c r="K15" s="2189">
        <v>0</v>
      </c>
      <c r="L15" s="2189">
        <v>0</v>
      </c>
      <c r="M15" s="2190">
        <v>0</v>
      </c>
      <c r="N15" s="2189">
        <v>0</v>
      </c>
      <c r="O15" s="2190">
        <f t="shared" si="4"/>
        <v>0</v>
      </c>
    </row>
    <row r="16" spans="1:15" ht="15.75" x14ac:dyDescent="0.25">
      <c r="A16" s="2176"/>
      <c r="B16" s="2176"/>
      <c r="C16" s="2176" t="s">
        <v>1435</v>
      </c>
      <c r="D16" s="2176" t="s">
        <v>1436</v>
      </c>
      <c r="E16" s="2187">
        <v>0</v>
      </c>
      <c r="F16" s="2188">
        <v>0</v>
      </c>
      <c r="G16" s="2188">
        <f t="shared" si="1"/>
        <v>0</v>
      </c>
      <c r="H16" s="2188">
        <v>0</v>
      </c>
      <c r="I16" s="2189">
        <v>0</v>
      </c>
      <c r="J16" s="2189">
        <v>0</v>
      </c>
      <c r="K16" s="2189">
        <v>0</v>
      </c>
      <c r="L16" s="2189">
        <v>0</v>
      </c>
      <c r="M16" s="2190">
        <v>0</v>
      </c>
      <c r="N16" s="2189">
        <v>0</v>
      </c>
      <c r="O16" s="2190">
        <f t="shared" si="4"/>
        <v>0</v>
      </c>
    </row>
    <row r="17" spans="1:15" ht="15.75" x14ac:dyDescent="0.25">
      <c r="A17" s="2176"/>
      <c r="B17" s="2176"/>
      <c r="C17" s="2176" t="s">
        <v>1437</v>
      </c>
      <c r="D17" s="2176" t="s">
        <v>1438</v>
      </c>
      <c r="E17" s="2187">
        <v>0</v>
      </c>
      <c r="F17" s="2188">
        <v>0</v>
      </c>
      <c r="G17" s="2188">
        <f t="shared" si="1"/>
        <v>0</v>
      </c>
      <c r="H17" s="2188">
        <v>0</v>
      </c>
      <c r="I17" s="2189">
        <v>0</v>
      </c>
      <c r="J17" s="2189">
        <v>0</v>
      </c>
      <c r="K17" s="2189">
        <v>0</v>
      </c>
      <c r="L17" s="2189">
        <v>0</v>
      </c>
      <c r="M17" s="2190">
        <v>0</v>
      </c>
      <c r="N17" s="2189">
        <v>390</v>
      </c>
      <c r="O17" s="2190">
        <f t="shared" si="4"/>
        <v>390</v>
      </c>
    </row>
    <row r="18" spans="1:15" ht="15.75" x14ac:dyDescent="0.25">
      <c r="A18" s="2176"/>
      <c r="B18" s="2176"/>
      <c r="C18" s="2182" t="s">
        <v>1439</v>
      </c>
      <c r="D18" s="2182" t="s">
        <v>1440</v>
      </c>
      <c r="E18" s="2183">
        <f>SUM(E19:E22)</f>
        <v>70780</v>
      </c>
      <c r="F18" s="2184">
        <f>SUM(F19:F22)</f>
        <v>0</v>
      </c>
      <c r="G18" s="2184">
        <f t="shared" si="1"/>
        <v>70780</v>
      </c>
      <c r="H18" s="2184">
        <f t="shared" ref="H18:N18" si="5">SUM(H19:H22)</f>
        <v>0</v>
      </c>
      <c r="I18" s="2185">
        <f t="shared" si="5"/>
        <v>0</v>
      </c>
      <c r="J18" s="2185">
        <f t="shared" si="5"/>
        <v>0</v>
      </c>
      <c r="K18" s="2185">
        <f t="shared" si="5"/>
        <v>0</v>
      </c>
      <c r="L18" s="2185">
        <f t="shared" si="5"/>
        <v>0</v>
      </c>
      <c r="M18" s="2186">
        <f t="shared" si="5"/>
        <v>0</v>
      </c>
      <c r="N18" s="2185">
        <f t="shared" si="5"/>
        <v>0</v>
      </c>
      <c r="O18" s="2186">
        <f t="shared" si="4"/>
        <v>70780</v>
      </c>
    </row>
    <row r="19" spans="1:15" ht="15.75" x14ac:dyDescent="0.25">
      <c r="A19" s="2176"/>
      <c r="B19" s="2176"/>
      <c r="C19" s="2176" t="s">
        <v>1441</v>
      </c>
      <c r="D19" s="2176" t="s">
        <v>1432</v>
      </c>
      <c r="E19" s="2187">
        <v>0</v>
      </c>
      <c r="F19" s="2188">
        <v>0</v>
      </c>
      <c r="G19" s="2188">
        <f t="shared" si="1"/>
        <v>0</v>
      </c>
      <c r="H19" s="2188">
        <v>0</v>
      </c>
      <c r="I19" s="2189">
        <v>0</v>
      </c>
      <c r="J19" s="2189">
        <v>0</v>
      </c>
      <c r="K19" s="2189">
        <v>0</v>
      </c>
      <c r="L19" s="2189">
        <v>0</v>
      </c>
      <c r="M19" s="2190">
        <v>0</v>
      </c>
      <c r="N19" s="2189">
        <v>0</v>
      </c>
      <c r="O19" s="2190">
        <f t="shared" si="4"/>
        <v>0</v>
      </c>
    </row>
    <row r="20" spans="1:15" ht="15.75" x14ac:dyDescent="0.25">
      <c r="A20" s="2176"/>
      <c r="B20" s="2176"/>
      <c r="C20" s="2176" t="s">
        <v>1442</v>
      </c>
      <c r="D20" s="2176" t="s">
        <v>1434</v>
      </c>
      <c r="E20" s="2187">
        <v>0</v>
      </c>
      <c r="F20" s="2188">
        <v>0</v>
      </c>
      <c r="G20" s="2188">
        <f t="shared" si="1"/>
        <v>0</v>
      </c>
      <c r="H20" s="2188">
        <v>0</v>
      </c>
      <c r="I20" s="2189">
        <v>0</v>
      </c>
      <c r="J20" s="2189">
        <v>0</v>
      </c>
      <c r="K20" s="2189">
        <v>0</v>
      </c>
      <c r="L20" s="2189">
        <v>0</v>
      </c>
      <c r="M20" s="2190">
        <v>0</v>
      </c>
      <c r="N20" s="2189">
        <v>0</v>
      </c>
      <c r="O20" s="2190">
        <f t="shared" si="4"/>
        <v>0</v>
      </c>
    </row>
    <row r="21" spans="1:15" ht="15.75" x14ac:dyDescent="0.25">
      <c r="A21" s="2176"/>
      <c r="B21" s="2176"/>
      <c r="C21" s="2176" t="s">
        <v>1443</v>
      </c>
      <c r="D21" s="2176" t="s">
        <v>1436</v>
      </c>
      <c r="E21" s="2187">
        <v>70780</v>
      </c>
      <c r="F21" s="2188">
        <v>0</v>
      </c>
      <c r="G21" s="2188">
        <f t="shared" si="1"/>
        <v>70780</v>
      </c>
      <c r="H21" s="2188">
        <v>0</v>
      </c>
      <c r="I21" s="2189">
        <v>0</v>
      </c>
      <c r="J21" s="2189">
        <v>0</v>
      </c>
      <c r="K21" s="2189">
        <v>0</v>
      </c>
      <c r="L21" s="2189">
        <v>0</v>
      </c>
      <c r="M21" s="2190">
        <v>0</v>
      </c>
      <c r="N21" s="2189">
        <v>0</v>
      </c>
      <c r="O21" s="2190">
        <f t="shared" si="4"/>
        <v>70780</v>
      </c>
    </row>
    <row r="22" spans="1:15" ht="15.75" x14ac:dyDescent="0.25">
      <c r="A22" s="2176"/>
      <c r="B22" s="2176"/>
      <c r="C22" s="2176" t="s">
        <v>1444</v>
      </c>
      <c r="D22" s="2176" t="s">
        <v>1438</v>
      </c>
      <c r="E22" s="2187">
        <v>0</v>
      </c>
      <c r="F22" s="2188">
        <v>0</v>
      </c>
      <c r="G22" s="2188">
        <f t="shared" si="1"/>
        <v>0</v>
      </c>
      <c r="H22" s="2188">
        <v>0</v>
      </c>
      <c r="I22" s="2189">
        <v>0</v>
      </c>
      <c r="J22" s="2189">
        <v>0</v>
      </c>
      <c r="K22" s="2189">
        <v>0</v>
      </c>
      <c r="L22" s="2189">
        <v>0</v>
      </c>
      <c r="M22" s="2190">
        <v>0</v>
      </c>
      <c r="N22" s="2189">
        <v>0</v>
      </c>
      <c r="O22" s="2190">
        <f t="shared" si="4"/>
        <v>0</v>
      </c>
    </row>
    <row r="23" spans="1:15" ht="15.75" x14ac:dyDescent="0.25">
      <c r="A23" s="2176"/>
      <c r="B23" s="2176"/>
      <c r="C23" s="2182" t="s">
        <v>1445</v>
      </c>
      <c r="D23" s="2182" t="s">
        <v>1446</v>
      </c>
      <c r="E23" s="2183">
        <v>0</v>
      </c>
      <c r="F23" s="2184">
        <v>0</v>
      </c>
      <c r="G23" s="2184">
        <f t="shared" si="1"/>
        <v>0</v>
      </c>
      <c r="H23" s="2184">
        <v>0</v>
      </c>
      <c r="I23" s="2185">
        <v>0</v>
      </c>
      <c r="J23" s="2185">
        <v>0</v>
      </c>
      <c r="K23" s="2185">
        <v>0</v>
      </c>
      <c r="L23" s="2185">
        <v>0</v>
      </c>
      <c r="M23" s="2186">
        <v>0</v>
      </c>
      <c r="N23" s="2185">
        <v>0</v>
      </c>
      <c r="O23" s="2186">
        <f t="shared" si="4"/>
        <v>0</v>
      </c>
    </row>
    <row r="24" spans="1:15" ht="15.75" x14ac:dyDescent="0.25">
      <c r="A24" s="2176"/>
      <c r="B24" s="2181" t="s">
        <v>504</v>
      </c>
      <c r="C24" s="2181" t="s">
        <v>1230</v>
      </c>
      <c r="D24" s="2181"/>
      <c r="E24" s="2177">
        <f>SUM(E25,E30,E36,E35,E41)</f>
        <v>16597179</v>
      </c>
      <c r="F24" s="2178">
        <f>SUM(F25,F30,F36,F35,F41)</f>
        <v>0</v>
      </c>
      <c r="G24" s="2178">
        <f t="shared" si="1"/>
        <v>16597179</v>
      </c>
      <c r="H24" s="2178">
        <f t="shared" ref="H24:N24" si="6">SUM(H25,H30,H36,H35,H41)</f>
        <v>19281</v>
      </c>
      <c r="I24" s="2179">
        <f t="shared" si="6"/>
        <v>0</v>
      </c>
      <c r="J24" s="2179">
        <f t="shared" si="6"/>
        <v>61</v>
      </c>
      <c r="K24" s="2179">
        <f t="shared" si="6"/>
        <v>0</v>
      </c>
      <c r="L24" s="2179">
        <f t="shared" si="6"/>
        <v>3381</v>
      </c>
      <c r="M24" s="2180">
        <f t="shared" si="6"/>
        <v>0</v>
      </c>
      <c r="N24" s="2179">
        <f t="shared" si="6"/>
        <v>10856</v>
      </c>
      <c r="O24" s="2180">
        <f t="shared" si="4"/>
        <v>16630758</v>
      </c>
    </row>
    <row r="25" spans="1:15" ht="15.75" x14ac:dyDescent="0.25">
      <c r="A25" s="2176"/>
      <c r="B25" s="2176"/>
      <c r="C25" s="2182" t="s">
        <v>1429</v>
      </c>
      <c r="D25" s="2182" t="s">
        <v>1188</v>
      </c>
      <c r="E25" s="2183">
        <f>SUM(E26:E29)</f>
        <v>16491171</v>
      </c>
      <c r="F25" s="2184">
        <f>SUM(F26:F29)</f>
        <v>0</v>
      </c>
      <c r="G25" s="2184">
        <f t="shared" si="1"/>
        <v>16491171</v>
      </c>
      <c r="H25" s="2184">
        <f t="shared" ref="H25:N25" si="7">SUM(H26:H29)</f>
        <v>0</v>
      </c>
      <c r="I25" s="2185">
        <f t="shared" si="7"/>
        <v>0</v>
      </c>
      <c r="J25" s="2185">
        <f t="shared" si="7"/>
        <v>0</v>
      </c>
      <c r="K25" s="2185">
        <f t="shared" si="7"/>
        <v>0</v>
      </c>
      <c r="L25" s="2185">
        <f t="shared" si="7"/>
        <v>0</v>
      </c>
      <c r="M25" s="2186">
        <f t="shared" si="7"/>
        <v>0</v>
      </c>
      <c r="N25" s="2185">
        <f t="shared" si="7"/>
        <v>0</v>
      </c>
      <c r="O25" s="2186">
        <f t="shared" si="4"/>
        <v>16491171</v>
      </c>
    </row>
    <row r="26" spans="1:15" ht="15.75" x14ac:dyDescent="0.25">
      <c r="A26" s="2176"/>
      <c r="B26" s="2176"/>
      <c r="C26" s="2176" t="s">
        <v>1431</v>
      </c>
      <c r="D26" s="2176" t="s">
        <v>1432</v>
      </c>
      <c r="E26" s="2187">
        <v>13585510</v>
      </c>
      <c r="F26" s="2188">
        <v>0</v>
      </c>
      <c r="G26" s="2188">
        <f t="shared" si="1"/>
        <v>13585510</v>
      </c>
      <c r="H26" s="2188">
        <v>0</v>
      </c>
      <c r="I26" s="2189">
        <v>0</v>
      </c>
      <c r="J26" s="2189">
        <v>0</v>
      </c>
      <c r="K26" s="2189">
        <v>0</v>
      </c>
      <c r="L26" s="2189">
        <v>0</v>
      </c>
      <c r="M26" s="2190">
        <v>0</v>
      </c>
      <c r="N26" s="2189">
        <v>0</v>
      </c>
      <c r="O26" s="2190">
        <f t="shared" si="4"/>
        <v>13585510</v>
      </c>
    </row>
    <row r="27" spans="1:15" ht="15.75" x14ac:dyDescent="0.25">
      <c r="A27" s="2176"/>
      <c r="B27" s="2176"/>
      <c r="C27" s="2176" t="s">
        <v>1433</v>
      </c>
      <c r="D27" s="2176" t="s">
        <v>1434</v>
      </c>
      <c r="E27" s="2187">
        <v>0</v>
      </c>
      <c r="F27" s="2188">
        <v>0</v>
      </c>
      <c r="G27" s="2188">
        <f t="shared" si="1"/>
        <v>0</v>
      </c>
      <c r="H27" s="2188">
        <v>0</v>
      </c>
      <c r="I27" s="2189">
        <v>0</v>
      </c>
      <c r="J27" s="2189">
        <v>0</v>
      </c>
      <c r="K27" s="2189">
        <v>0</v>
      </c>
      <c r="L27" s="2189">
        <v>0</v>
      </c>
      <c r="M27" s="2190">
        <v>0</v>
      </c>
      <c r="N27" s="2189">
        <v>0</v>
      </c>
      <c r="O27" s="2190">
        <f t="shared" si="4"/>
        <v>0</v>
      </c>
    </row>
    <row r="28" spans="1:15" ht="15.75" x14ac:dyDescent="0.25">
      <c r="A28" s="2176"/>
      <c r="B28" s="2176"/>
      <c r="C28" s="2176" t="s">
        <v>1435</v>
      </c>
      <c r="D28" s="2176" t="s">
        <v>1436</v>
      </c>
      <c r="E28" s="2187">
        <v>1629599</v>
      </c>
      <c r="F28" s="2188">
        <v>0</v>
      </c>
      <c r="G28" s="2188">
        <f t="shared" si="1"/>
        <v>1629599</v>
      </c>
      <c r="H28" s="2188">
        <v>0</v>
      </c>
      <c r="I28" s="2189">
        <v>0</v>
      </c>
      <c r="J28" s="2189">
        <v>0</v>
      </c>
      <c r="K28" s="2189">
        <v>0</v>
      </c>
      <c r="L28" s="2189">
        <v>0</v>
      </c>
      <c r="M28" s="2190">
        <v>0</v>
      </c>
      <c r="N28" s="2189">
        <v>0</v>
      </c>
      <c r="O28" s="2190">
        <f t="shared" si="4"/>
        <v>1629599</v>
      </c>
    </row>
    <row r="29" spans="1:15" ht="15.75" x14ac:dyDescent="0.25">
      <c r="A29" s="2176"/>
      <c r="B29" s="2176"/>
      <c r="C29" s="2176" t="s">
        <v>1437</v>
      </c>
      <c r="D29" s="2176" t="s">
        <v>1438</v>
      </c>
      <c r="E29" s="2187">
        <v>1276062</v>
      </c>
      <c r="F29" s="2188">
        <v>0</v>
      </c>
      <c r="G29" s="2188">
        <f t="shared" si="1"/>
        <v>1276062</v>
      </c>
      <c r="H29" s="2188">
        <v>0</v>
      </c>
      <c r="I29" s="2189">
        <v>0</v>
      </c>
      <c r="J29" s="2189">
        <v>0</v>
      </c>
      <c r="K29" s="2189">
        <v>0</v>
      </c>
      <c r="L29" s="2189">
        <v>0</v>
      </c>
      <c r="M29" s="2190">
        <v>0</v>
      </c>
      <c r="N29" s="2189">
        <v>0</v>
      </c>
      <c r="O29" s="2190">
        <f t="shared" si="4"/>
        <v>1276062</v>
      </c>
    </row>
    <row r="30" spans="1:15" ht="15.75" x14ac:dyDescent="0.25">
      <c r="A30" s="2176"/>
      <c r="B30" s="2176"/>
      <c r="C30" s="2182" t="s">
        <v>1439</v>
      </c>
      <c r="D30" s="2182" t="s">
        <v>1447</v>
      </c>
      <c r="E30" s="2183">
        <f>SUM(E31:E34)</f>
        <v>93195</v>
      </c>
      <c r="F30" s="2184">
        <f>SUM(F31:F34)</f>
        <v>0</v>
      </c>
      <c r="G30" s="2184">
        <f t="shared" si="1"/>
        <v>93195</v>
      </c>
      <c r="H30" s="2184">
        <f t="shared" ref="H30:N30" si="8">SUM(H31:H34)</f>
        <v>19281</v>
      </c>
      <c r="I30" s="2185">
        <f t="shared" si="8"/>
        <v>0</v>
      </c>
      <c r="J30" s="2185">
        <f t="shared" si="8"/>
        <v>61</v>
      </c>
      <c r="K30" s="2185">
        <f t="shared" si="8"/>
        <v>0</v>
      </c>
      <c r="L30" s="2185">
        <f t="shared" si="8"/>
        <v>3381</v>
      </c>
      <c r="M30" s="2186">
        <f t="shared" si="8"/>
        <v>0</v>
      </c>
      <c r="N30" s="2185">
        <f t="shared" si="8"/>
        <v>10595</v>
      </c>
      <c r="O30" s="2186">
        <f t="shared" si="4"/>
        <v>126513</v>
      </c>
    </row>
    <row r="31" spans="1:15" ht="15.75" x14ac:dyDescent="0.25">
      <c r="A31" s="2176"/>
      <c r="B31" s="2176"/>
      <c r="C31" s="2176" t="s">
        <v>1441</v>
      </c>
      <c r="D31" s="2176" t="s">
        <v>1432</v>
      </c>
      <c r="E31" s="2187">
        <v>0</v>
      </c>
      <c r="F31" s="2188">
        <v>0</v>
      </c>
      <c r="G31" s="2188">
        <f t="shared" si="1"/>
        <v>0</v>
      </c>
      <c r="H31" s="2188">
        <v>0</v>
      </c>
      <c r="I31" s="2189">
        <v>0</v>
      </c>
      <c r="J31" s="2189">
        <v>0</v>
      </c>
      <c r="K31" s="2189">
        <v>0</v>
      </c>
      <c r="L31" s="2189">
        <v>0</v>
      </c>
      <c r="M31" s="2190">
        <v>0</v>
      </c>
      <c r="N31" s="2189">
        <v>0</v>
      </c>
      <c r="O31" s="2190">
        <f t="shared" si="4"/>
        <v>0</v>
      </c>
    </row>
    <row r="32" spans="1:15" ht="15.75" x14ac:dyDescent="0.25">
      <c r="A32" s="2176"/>
      <c r="B32" s="2176"/>
      <c r="C32" s="2176" t="s">
        <v>1442</v>
      </c>
      <c r="D32" s="2176" t="s">
        <v>1434</v>
      </c>
      <c r="E32" s="2187">
        <v>0</v>
      </c>
      <c r="F32" s="2188">
        <v>0</v>
      </c>
      <c r="G32" s="2188">
        <f t="shared" si="1"/>
        <v>0</v>
      </c>
      <c r="H32" s="2188">
        <v>0</v>
      </c>
      <c r="I32" s="2189">
        <v>0</v>
      </c>
      <c r="J32" s="2189">
        <v>0</v>
      </c>
      <c r="K32" s="2189">
        <v>0</v>
      </c>
      <c r="L32" s="2189">
        <v>0</v>
      </c>
      <c r="M32" s="2190">
        <v>0</v>
      </c>
      <c r="N32" s="2189">
        <v>0</v>
      </c>
      <c r="O32" s="2190">
        <f t="shared" si="4"/>
        <v>0</v>
      </c>
    </row>
    <row r="33" spans="1:17" ht="15.75" x14ac:dyDescent="0.25">
      <c r="A33" s="2176"/>
      <c r="B33" s="2176"/>
      <c r="C33" s="2176" t="s">
        <v>1443</v>
      </c>
      <c r="D33" s="2176" t="s">
        <v>1436</v>
      </c>
      <c r="E33" s="2187">
        <v>21877</v>
      </c>
      <c r="F33" s="2188">
        <v>0</v>
      </c>
      <c r="G33" s="2188">
        <f t="shared" si="1"/>
        <v>21877</v>
      </c>
      <c r="H33" s="2188">
        <v>0</v>
      </c>
      <c r="I33" s="2189">
        <v>0</v>
      </c>
      <c r="J33" s="2189">
        <v>61</v>
      </c>
      <c r="K33" s="2189">
        <v>0</v>
      </c>
      <c r="L33" s="2189">
        <v>1881</v>
      </c>
      <c r="M33" s="2190">
        <v>0</v>
      </c>
      <c r="N33" s="2189">
        <v>0</v>
      </c>
      <c r="O33" s="2190">
        <f t="shared" si="4"/>
        <v>23819</v>
      </c>
    </row>
    <row r="34" spans="1:17" ht="15.75" x14ac:dyDescent="0.25">
      <c r="A34" s="2176"/>
      <c r="B34" s="2176"/>
      <c r="C34" s="2176" t="s">
        <v>1444</v>
      </c>
      <c r="D34" s="2176" t="s">
        <v>1438</v>
      </c>
      <c r="E34" s="2187">
        <v>71318</v>
      </c>
      <c r="F34" s="2188">
        <v>0</v>
      </c>
      <c r="G34" s="2189">
        <f t="shared" si="1"/>
        <v>71318</v>
      </c>
      <c r="H34" s="2188">
        <v>19281</v>
      </c>
      <c r="I34" s="2189">
        <v>0</v>
      </c>
      <c r="J34" s="2189">
        <v>0</v>
      </c>
      <c r="K34" s="2189">
        <v>0</v>
      </c>
      <c r="L34" s="2189">
        <v>1500</v>
      </c>
      <c r="M34" s="2190">
        <v>0</v>
      </c>
      <c r="N34" s="2189">
        <v>10595</v>
      </c>
      <c r="O34" s="2190">
        <f t="shared" si="4"/>
        <v>102694</v>
      </c>
    </row>
    <row r="35" spans="1:17" ht="15.75" x14ac:dyDescent="0.25">
      <c r="A35" s="2176"/>
      <c r="B35" s="2176"/>
      <c r="C35" s="2182" t="s">
        <v>1445</v>
      </c>
      <c r="D35" s="2182" t="s">
        <v>1190</v>
      </c>
      <c r="E35" s="2183">
        <v>0</v>
      </c>
      <c r="F35" s="2184">
        <v>0</v>
      </c>
      <c r="G35" s="2184">
        <f t="shared" si="1"/>
        <v>0</v>
      </c>
      <c r="H35" s="2184">
        <v>0</v>
      </c>
      <c r="I35" s="2185">
        <v>0</v>
      </c>
      <c r="J35" s="2185">
        <v>0</v>
      </c>
      <c r="K35" s="2185">
        <v>0</v>
      </c>
      <c r="L35" s="2185">
        <v>0</v>
      </c>
      <c r="M35" s="2186">
        <v>0</v>
      </c>
      <c r="N35" s="2185">
        <v>0</v>
      </c>
      <c r="O35" s="2186">
        <f t="shared" si="4"/>
        <v>0</v>
      </c>
    </row>
    <row r="36" spans="1:17" ht="15.75" x14ac:dyDescent="0.25">
      <c r="A36" s="2176"/>
      <c r="B36" s="2176"/>
      <c r="C36" s="2182" t="s">
        <v>1448</v>
      </c>
      <c r="D36" s="2182" t="s">
        <v>1449</v>
      </c>
      <c r="E36" s="2183">
        <f>SUM(E37:E40)</f>
        <v>12813</v>
      </c>
      <c r="F36" s="2184">
        <f>SUM(F37:F40)</f>
        <v>0</v>
      </c>
      <c r="G36" s="2184">
        <f t="shared" si="1"/>
        <v>12813</v>
      </c>
      <c r="H36" s="2184">
        <f t="shared" ref="H36:N36" si="9">SUM(H37:H40)</f>
        <v>0</v>
      </c>
      <c r="I36" s="2185">
        <f t="shared" si="9"/>
        <v>0</v>
      </c>
      <c r="J36" s="2185">
        <f t="shared" si="9"/>
        <v>0</v>
      </c>
      <c r="K36" s="2185">
        <f t="shared" si="9"/>
        <v>0</v>
      </c>
      <c r="L36" s="2185">
        <f t="shared" si="9"/>
        <v>0</v>
      </c>
      <c r="M36" s="2186">
        <f t="shared" si="9"/>
        <v>0</v>
      </c>
      <c r="N36" s="2185">
        <f t="shared" si="9"/>
        <v>261</v>
      </c>
      <c r="O36" s="2186">
        <f t="shared" si="4"/>
        <v>13074</v>
      </c>
    </row>
    <row r="37" spans="1:17" ht="15.75" x14ac:dyDescent="0.25">
      <c r="A37" s="2176"/>
      <c r="B37" s="2176"/>
      <c r="C37" s="2176" t="s">
        <v>1450</v>
      </c>
      <c r="D37" s="2176" t="s">
        <v>1432</v>
      </c>
      <c r="E37" s="2187">
        <v>0</v>
      </c>
      <c r="F37" s="2188">
        <v>0</v>
      </c>
      <c r="G37" s="2188">
        <f t="shared" si="1"/>
        <v>0</v>
      </c>
      <c r="H37" s="2188">
        <v>0</v>
      </c>
      <c r="I37" s="2189">
        <v>0</v>
      </c>
      <c r="J37" s="2189">
        <v>0</v>
      </c>
      <c r="K37" s="2189">
        <v>0</v>
      </c>
      <c r="L37" s="2189">
        <v>0</v>
      </c>
      <c r="M37" s="2190">
        <v>0</v>
      </c>
      <c r="N37" s="2189">
        <v>0</v>
      </c>
      <c r="O37" s="2190">
        <f t="shared" si="4"/>
        <v>0</v>
      </c>
      <c r="Q37" s="2191"/>
    </row>
    <row r="38" spans="1:17" ht="15.75" x14ac:dyDescent="0.25">
      <c r="A38" s="2176"/>
      <c r="B38" s="2176"/>
      <c r="C38" s="2176" t="s">
        <v>1451</v>
      </c>
      <c r="D38" s="2176" t="s">
        <v>1434</v>
      </c>
      <c r="E38" s="2187">
        <v>0</v>
      </c>
      <c r="F38" s="2188">
        <v>0</v>
      </c>
      <c r="G38" s="2188">
        <f t="shared" si="1"/>
        <v>0</v>
      </c>
      <c r="H38" s="2188">
        <v>0</v>
      </c>
      <c r="I38" s="2189">
        <v>0</v>
      </c>
      <c r="J38" s="2189">
        <v>0</v>
      </c>
      <c r="K38" s="2189">
        <v>0</v>
      </c>
      <c r="L38" s="2189">
        <v>0</v>
      </c>
      <c r="M38" s="2190">
        <v>0</v>
      </c>
      <c r="N38" s="2189">
        <v>0</v>
      </c>
      <c r="O38" s="2190">
        <f t="shared" si="4"/>
        <v>0</v>
      </c>
    </row>
    <row r="39" spans="1:17" ht="15.75" x14ac:dyDescent="0.25">
      <c r="A39" s="2176"/>
      <c r="B39" s="2176"/>
      <c r="C39" s="2176" t="s">
        <v>1452</v>
      </c>
      <c r="D39" s="2176" t="s">
        <v>1436</v>
      </c>
      <c r="E39" s="2187">
        <v>12813</v>
      </c>
      <c r="F39" s="2188">
        <v>0</v>
      </c>
      <c r="G39" s="2188">
        <f t="shared" si="1"/>
        <v>12813</v>
      </c>
      <c r="H39" s="2188">
        <v>0</v>
      </c>
      <c r="I39" s="2189">
        <v>0</v>
      </c>
      <c r="J39" s="2189">
        <v>0</v>
      </c>
      <c r="K39" s="2189">
        <v>0</v>
      </c>
      <c r="L39" s="2189">
        <v>0</v>
      </c>
      <c r="M39" s="2190">
        <v>0</v>
      </c>
      <c r="N39" s="2189">
        <v>0</v>
      </c>
      <c r="O39" s="2190">
        <f t="shared" si="4"/>
        <v>12813</v>
      </c>
    </row>
    <row r="40" spans="1:17" ht="15.75" x14ac:dyDescent="0.25">
      <c r="A40" s="2176"/>
      <c r="B40" s="2176"/>
      <c r="C40" s="2176" t="s">
        <v>1453</v>
      </c>
      <c r="D40" s="2176" t="s">
        <v>1438</v>
      </c>
      <c r="E40" s="2187">
        <v>0</v>
      </c>
      <c r="F40" s="2188">
        <v>0</v>
      </c>
      <c r="G40" s="2188">
        <f t="shared" si="1"/>
        <v>0</v>
      </c>
      <c r="H40" s="2188">
        <v>0</v>
      </c>
      <c r="I40" s="2189">
        <v>0</v>
      </c>
      <c r="J40" s="2189">
        <v>0</v>
      </c>
      <c r="K40" s="2189">
        <v>0</v>
      </c>
      <c r="L40" s="2189">
        <v>0</v>
      </c>
      <c r="M40" s="2190">
        <v>0</v>
      </c>
      <c r="N40" s="2189">
        <v>261</v>
      </c>
      <c r="O40" s="2190">
        <f t="shared" si="4"/>
        <v>261</v>
      </c>
    </row>
    <row r="41" spans="1:17" ht="15.75" x14ac:dyDescent="0.25">
      <c r="A41" s="2176"/>
      <c r="B41" s="2176"/>
      <c r="C41" s="2182" t="s">
        <v>1454</v>
      </c>
      <c r="D41" s="2182" t="s">
        <v>1455</v>
      </c>
      <c r="E41" s="2183">
        <v>0</v>
      </c>
      <c r="F41" s="2184">
        <v>0</v>
      </c>
      <c r="G41" s="2184">
        <f t="shared" si="1"/>
        <v>0</v>
      </c>
      <c r="H41" s="2184">
        <v>0</v>
      </c>
      <c r="I41" s="2185">
        <v>0</v>
      </c>
      <c r="J41" s="2185">
        <v>0</v>
      </c>
      <c r="K41" s="2185">
        <v>0</v>
      </c>
      <c r="L41" s="2185">
        <v>0</v>
      </c>
      <c r="M41" s="2186">
        <v>0</v>
      </c>
      <c r="N41" s="2185">
        <v>0</v>
      </c>
      <c r="O41" s="2186">
        <f t="shared" si="4"/>
        <v>0</v>
      </c>
    </row>
    <row r="42" spans="1:17" ht="15.75" x14ac:dyDescent="0.25">
      <c r="A42" s="2176"/>
      <c r="B42" s="2181" t="s">
        <v>513</v>
      </c>
      <c r="C42" s="2181" t="s">
        <v>1456</v>
      </c>
      <c r="D42" s="2181"/>
      <c r="E42" s="2177">
        <f>SUM(E43,E48,E58,E53)</f>
        <v>3593</v>
      </c>
      <c r="F42" s="2178">
        <f>SUM(F43,F48,F58,F53)</f>
        <v>0</v>
      </c>
      <c r="G42" s="2178">
        <f t="shared" si="1"/>
        <v>3593</v>
      </c>
      <c r="H42" s="2178">
        <f t="shared" ref="H42:N42" si="10">SUM(H43,H48,H58,H53)</f>
        <v>0</v>
      </c>
      <c r="I42" s="2179">
        <f t="shared" si="10"/>
        <v>0</v>
      </c>
      <c r="J42" s="2179">
        <f t="shared" si="10"/>
        <v>0</v>
      </c>
      <c r="K42" s="2179">
        <f t="shared" si="10"/>
        <v>0</v>
      </c>
      <c r="L42" s="2179">
        <f t="shared" si="10"/>
        <v>0</v>
      </c>
      <c r="M42" s="2180">
        <f t="shared" si="10"/>
        <v>0</v>
      </c>
      <c r="N42" s="2179">
        <f t="shared" si="10"/>
        <v>0</v>
      </c>
      <c r="O42" s="2180">
        <f t="shared" si="4"/>
        <v>3593</v>
      </c>
    </row>
    <row r="43" spans="1:17" ht="15.75" x14ac:dyDescent="0.25">
      <c r="A43" s="2176"/>
      <c r="B43" s="2176"/>
      <c r="C43" s="2182" t="s">
        <v>1429</v>
      </c>
      <c r="D43" s="2182" t="s">
        <v>1457</v>
      </c>
      <c r="E43" s="2183">
        <f>SUM(E44:E47)</f>
        <v>3593</v>
      </c>
      <c r="F43" s="2184">
        <f>SUM(F44:F47)</f>
        <v>0</v>
      </c>
      <c r="G43" s="2184">
        <f t="shared" si="1"/>
        <v>3593</v>
      </c>
      <c r="H43" s="2184">
        <f t="shared" ref="H43:N43" si="11">SUM(H44:H47)</f>
        <v>0</v>
      </c>
      <c r="I43" s="2185">
        <f t="shared" si="11"/>
        <v>0</v>
      </c>
      <c r="J43" s="2185">
        <f t="shared" si="11"/>
        <v>0</v>
      </c>
      <c r="K43" s="2185">
        <f t="shared" si="11"/>
        <v>0</v>
      </c>
      <c r="L43" s="2185">
        <f t="shared" si="11"/>
        <v>0</v>
      </c>
      <c r="M43" s="2186">
        <f t="shared" si="11"/>
        <v>0</v>
      </c>
      <c r="N43" s="2185">
        <f t="shared" si="11"/>
        <v>0</v>
      </c>
      <c r="O43" s="2186">
        <f t="shared" si="4"/>
        <v>3593</v>
      </c>
    </row>
    <row r="44" spans="1:17" ht="15.75" x14ac:dyDescent="0.25">
      <c r="A44" s="2176"/>
      <c r="B44" s="2176"/>
      <c r="C44" s="2176" t="s">
        <v>1431</v>
      </c>
      <c r="D44" s="2176" t="s">
        <v>1432</v>
      </c>
      <c r="E44" s="2187">
        <v>0</v>
      </c>
      <c r="F44" s="2188">
        <v>0</v>
      </c>
      <c r="G44" s="2188">
        <f t="shared" si="1"/>
        <v>0</v>
      </c>
      <c r="H44" s="2188">
        <v>0</v>
      </c>
      <c r="I44" s="2189">
        <v>0</v>
      </c>
      <c r="J44" s="2189">
        <v>0</v>
      </c>
      <c r="K44" s="2189">
        <v>0</v>
      </c>
      <c r="L44" s="2189">
        <v>0</v>
      </c>
      <c r="M44" s="2190">
        <v>0</v>
      </c>
      <c r="N44" s="2189">
        <v>0</v>
      </c>
      <c r="O44" s="2190">
        <f t="shared" si="4"/>
        <v>0</v>
      </c>
    </row>
    <row r="45" spans="1:17" ht="15.75" x14ac:dyDescent="0.25">
      <c r="A45" s="2176"/>
      <c r="B45" s="2176"/>
      <c r="C45" s="2176" t="s">
        <v>1433</v>
      </c>
      <c r="D45" s="2176" t="s">
        <v>1434</v>
      </c>
      <c r="E45" s="2187">
        <v>0</v>
      </c>
      <c r="F45" s="2188">
        <v>0</v>
      </c>
      <c r="G45" s="2188">
        <f t="shared" si="1"/>
        <v>0</v>
      </c>
      <c r="H45" s="2188">
        <v>0</v>
      </c>
      <c r="I45" s="2189">
        <v>0</v>
      </c>
      <c r="J45" s="2189">
        <v>0</v>
      </c>
      <c r="K45" s="2189">
        <v>0</v>
      </c>
      <c r="L45" s="2189">
        <v>0</v>
      </c>
      <c r="M45" s="2190">
        <v>0</v>
      </c>
      <c r="N45" s="2189">
        <v>0</v>
      </c>
      <c r="O45" s="2190">
        <f t="shared" si="4"/>
        <v>0</v>
      </c>
    </row>
    <row r="46" spans="1:17" ht="15.75" x14ac:dyDescent="0.25">
      <c r="A46" s="2176"/>
      <c r="B46" s="2176"/>
      <c r="C46" s="2176" t="s">
        <v>1435</v>
      </c>
      <c r="D46" s="2176" t="s">
        <v>1436</v>
      </c>
      <c r="E46" s="2187">
        <v>3593</v>
      </c>
      <c r="F46" s="2188">
        <v>0</v>
      </c>
      <c r="G46" s="2188">
        <f t="shared" si="1"/>
        <v>3593</v>
      </c>
      <c r="H46" s="2188">
        <v>0</v>
      </c>
      <c r="I46" s="2189">
        <v>0</v>
      </c>
      <c r="J46" s="2189">
        <v>0</v>
      </c>
      <c r="K46" s="2189">
        <v>0</v>
      </c>
      <c r="L46" s="2189">
        <v>0</v>
      </c>
      <c r="M46" s="2190">
        <v>0</v>
      </c>
      <c r="N46" s="2189">
        <v>0</v>
      </c>
      <c r="O46" s="2190">
        <f t="shared" si="4"/>
        <v>3593</v>
      </c>
    </row>
    <row r="47" spans="1:17" ht="15.75" x14ac:dyDescent="0.25">
      <c r="A47" s="2176"/>
      <c r="B47" s="2176"/>
      <c r="C47" s="2176" t="s">
        <v>1437</v>
      </c>
      <c r="D47" s="2176" t="s">
        <v>1438</v>
      </c>
      <c r="E47" s="2187">
        <v>0</v>
      </c>
      <c r="F47" s="2188">
        <v>0</v>
      </c>
      <c r="G47" s="2188">
        <f t="shared" si="1"/>
        <v>0</v>
      </c>
      <c r="H47" s="2188">
        <v>0</v>
      </c>
      <c r="I47" s="2189">
        <v>0</v>
      </c>
      <c r="J47" s="2189">
        <v>0</v>
      </c>
      <c r="K47" s="2189">
        <v>0</v>
      </c>
      <c r="L47" s="2189">
        <v>0</v>
      </c>
      <c r="M47" s="2190">
        <v>0</v>
      </c>
      <c r="N47" s="2189">
        <v>0</v>
      </c>
      <c r="O47" s="2190">
        <f t="shared" si="4"/>
        <v>0</v>
      </c>
    </row>
    <row r="48" spans="1:17" ht="15.75" x14ac:dyDescent="0.25">
      <c r="A48" s="2176"/>
      <c r="B48" s="2176"/>
      <c r="C48" s="2182" t="s">
        <v>1439</v>
      </c>
      <c r="D48" s="2182" t="s">
        <v>1458</v>
      </c>
      <c r="E48" s="2183">
        <v>0</v>
      </c>
      <c r="F48" s="2184">
        <v>0</v>
      </c>
      <c r="G48" s="2184">
        <f t="shared" si="1"/>
        <v>0</v>
      </c>
      <c r="H48" s="2184">
        <v>0</v>
      </c>
      <c r="I48" s="2185">
        <v>0</v>
      </c>
      <c r="J48" s="2185">
        <v>0</v>
      </c>
      <c r="K48" s="2185">
        <v>0</v>
      </c>
      <c r="L48" s="2185">
        <v>0</v>
      </c>
      <c r="M48" s="2186">
        <v>0</v>
      </c>
      <c r="N48" s="2185">
        <v>0</v>
      </c>
      <c r="O48" s="2186">
        <f t="shared" si="4"/>
        <v>0</v>
      </c>
    </row>
    <row r="49" spans="1:15" ht="15.75" x14ac:dyDescent="0.25">
      <c r="A49" s="2176"/>
      <c r="B49" s="2176"/>
      <c r="C49" s="2176" t="s">
        <v>1441</v>
      </c>
      <c r="D49" s="2176" t="s">
        <v>1432</v>
      </c>
      <c r="E49" s="2187">
        <v>0</v>
      </c>
      <c r="F49" s="2188">
        <v>0</v>
      </c>
      <c r="G49" s="2188">
        <f t="shared" si="1"/>
        <v>0</v>
      </c>
      <c r="H49" s="2188">
        <v>0</v>
      </c>
      <c r="I49" s="2189">
        <v>0</v>
      </c>
      <c r="J49" s="2189">
        <v>0</v>
      </c>
      <c r="K49" s="2189">
        <v>0</v>
      </c>
      <c r="L49" s="2189">
        <v>0</v>
      </c>
      <c r="M49" s="2190">
        <v>0</v>
      </c>
      <c r="N49" s="2189">
        <v>0</v>
      </c>
      <c r="O49" s="2190">
        <f t="shared" si="4"/>
        <v>0</v>
      </c>
    </row>
    <row r="50" spans="1:15" ht="15.75" x14ac:dyDescent="0.25">
      <c r="A50" s="2176"/>
      <c r="B50" s="2176"/>
      <c r="C50" s="2176" t="s">
        <v>1442</v>
      </c>
      <c r="D50" s="2176" t="s">
        <v>1434</v>
      </c>
      <c r="E50" s="2187">
        <v>0</v>
      </c>
      <c r="F50" s="2188">
        <v>0</v>
      </c>
      <c r="G50" s="2188">
        <f t="shared" si="1"/>
        <v>0</v>
      </c>
      <c r="H50" s="2188">
        <v>0</v>
      </c>
      <c r="I50" s="2189">
        <v>0</v>
      </c>
      <c r="J50" s="2189">
        <v>0</v>
      </c>
      <c r="K50" s="2189">
        <v>0</v>
      </c>
      <c r="L50" s="2189">
        <v>0</v>
      </c>
      <c r="M50" s="2190">
        <v>0</v>
      </c>
      <c r="N50" s="2189">
        <v>0</v>
      </c>
      <c r="O50" s="2190">
        <f t="shared" si="4"/>
        <v>0</v>
      </c>
    </row>
    <row r="51" spans="1:15" ht="15.75" x14ac:dyDescent="0.25">
      <c r="A51" s="2176"/>
      <c r="B51" s="2176"/>
      <c r="C51" s="2176" t="s">
        <v>1443</v>
      </c>
      <c r="D51" s="2176" t="s">
        <v>1436</v>
      </c>
      <c r="E51" s="2187">
        <v>0</v>
      </c>
      <c r="F51" s="2188">
        <v>0</v>
      </c>
      <c r="G51" s="2188">
        <f t="shared" si="1"/>
        <v>0</v>
      </c>
      <c r="H51" s="2188">
        <v>0</v>
      </c>
      <c r="I51" s="2189">
        <v>0</v>
      </c>
      <c r="J51" s="2189">
        <v>0</v>
      </c>
      <c r="K51" s="2189">
        <v>0</v>
      </c>
      <c r="L51" s="2189">
        <v>0</v>
      </c>
      <c r="M51" s="2190">
        <v>0</v>
      </c>
      <c r="N51" s="2189">
        <v>0</v>
      </c>
      <c r="O51" s="2190">
        <f t="shared" si="4"/>
        <v>0</v>
      </c>
    </row>
    <row r="52" spans="1:15" ht="15.75" x14ac:dyDescent="0.25">
      <c r="A52" s="2176"/>
      <c r="B52" s="2176"/>
      <c r="C52" s="2176" t="s">
        <v>1444</v>
      </c>
      <c r="D52" s="2176" t="s">
        <v>1438</v>
      </c>
      <c r="E52" s="2187">
        <v>0</v>
      </c>
      <c r="F52" s="2188">
        <v>0</v>
      </c>
      <c r="G52" s="2188">
        <f t="shared" si="1"/>
        <v>0</v>
      </c>
      <c r="H52" s="2188">
        <v>0</v>
      </c>
      <c r="I52" s="2189">
        <v>0</v>
      </c>
      <c r="J52" s="2189">
        <v>0</v>
      </c>
      <c r="K52" s="2189">
        <v>0</v>
      </c>
      <c r="L52" s="2189">
        <v>0</v>
      </c>
      <c r="M52" s="2190">
        <v>0</v>
      </c>
      <c r="N52" s="2189">
        <v>0</v>
      </c>
      <c r="O52" s="2190">
        <f t="shared" si="4"/>
        <v>0</v>
      </c>
    </row>
    <row r="53" spans="1:15" ht="15.75" x14ac:dyDescent="0.25">
      <c r="A53" s="2176"/>
      <c r="B53" s="2176"/>
      <c r="C53" s="2182" t="s">
        <v>1445</v>
      </c>
      <c r="D53" s="2182" t="s">
        <v>1459</v>
      </c>
      <c r="E53" s="2183">
        <f>SUM(E54:E57)</f>
        <v>0</v>
      </c>
      <c r="F53" s="2184">
        <f>SUM(F54:F57)</f>
        <v>0</v>
      </c>
      <c r="G53" s="2184">
        <f t="shared" si="1"/>
        <v>0</v>
      </c>
      <c r="H53" s="2184">
        <f t="shared" ref="H53:N53" si="12">SUM(H54:H57)</f>
        <v>0</v>
      </c>
      <c r="I53" s="2185">
        <f t="shared" si="12"/>
        <v>0</v>
      </c>
      <c r="J53" s="2185">
        <f t="shared" si="12"/>
        <v>0</v>
      </c>
      <c r="K53" s="2185">
        <f t="shared" si="12"/>
        <v>0</v>
      </c>
      <c r="L53" s="2185">
        <f t="shared" si="12"/>
        <v>0</v>
      </c>
      <c r="M53" s="2186">
        <f t="shared" si="12"/>
        <v>0</v>
      </c>
      <c r="N53" s="2185">
        <f t="shared" si="12"/>
        <v>0</v>
      </c>
      <c r="O53" s="2186">
        <f t="shared" si="4"/>
        <v>0</v>
      </c>
    </row>
    <row r="54" spans="1:15" ht="15.75" x14ac:dyDescent="0.25">
      <c r="A54" s="2176"/>
      <c r="B54" s="2176"/>
      <c r="C54" s="2176" t="s">
        <v>1460</v>
      </c>
      <c r="D54" s="2176" t="s">
        <v>1432</v>
      </c>
      <c r="E54" s="2187">
        <v>0</v>
      </c>
      <c r="F54" s="2188">
        <v>0</v>
      </c>
      <c r="G54" s="2188">
        <f t="shared" si="1"/>
        <v>0</v>
      </c>
      <c r="H54" s="2188">
        <v>0</v>
      </c>
      <c r="I54" s="2189">
        <v>0</v>
      </c>
      <c r="J54" s="2189">
        <v>0</v>
      </c>
      <c r="K54" s="2189">
        <v>0</v>
      </c>
      <c r="L54" s="2189">
        <v>0</v>
      </c>
      <c r="M54" s="2190">
        <v>0</v>
      </c>
      <c r="N54" s="2189">
        <v>0</v>
      </c>
      <c r="O54" s="2190">
        <f t="shared" si="4"/>
        <v>0</v>
      </c>
    </row>
    <row r="55" spans="1:15" ht="15.75" x14ac:dyDescent="0.25">
      <c r="A55" s="2176"/>
      <c r="B55" s="2176"/>
      <c r="C55" s="2176" t="s">
        <v>1461</v>
      </c>
      <c r="D55" s="2176" t="s">
        <v>1434</v>
      </c>
      <c r="E55" s="2187">
        <v>0</v>
      </c>
      <c r="F55" s="2188">
        <v>0</v>
      </c>
      <c r="G55" s="2188">
        <f t="shared" si="1"/>
        <v>0</v>
      </c>
      <c r="H55" s="2188">
        <v>0</v>
      </c>
      <c r="I55" s="2189">
        <v>0</v>
      </c>
      <c r="J55" s="2189">
        <v>0</v>
      </c>
      <c r="K55" s="2189">
        <v>0</v>
      </c>
      <c r="L55" s="2189">
        <v>0</v>
      </c>
      <c r="M55" s="2190">
        <v>0</v>
      </c>
      <c r="N55" s="2189">
        <v>0</v>
      </c>
      <c r="O55" s="2190">
        <f t="shared" si="4"/>
        <v>0</v>
      </c>
    </row>
    <row r="56" spans="1:15" ht="15.75" x14ac:dyDescent="0.25">
      <c r="A56" s="2176"/>
      <c r="B56" s="2176"/>
      <c r="C56" s="2176" t="s">
        <v>1462</v>
      </c>
      <c r="D56" s="2176" t="s">
        <v>1436</v>
      </c>
      <c r="E56" s="2187">
        <v>0</v>
      </c>
      <c r="F56" s="2188">
        <v>0</v>
      </c>
      <c r="G56" s="2188">
        <f t="shared" si="1"/>
        <v>0</v>
      </c>
      <c r="H56" s="2188">
        <v>0</v>
      </c>
      <c r="I56" s="2189">
        <v>0</v>
      </c>
      <c r="J56" s="2189">
        <v>0</v>
      </c>
      <c r="K56" s="2189">
        <v>0</v>
      </c>
      <c r="L56" s="2189">
        <v>0</v>
      </c>
      <c r="M56" s="2190">
        <v>0</v>
      </c>
      <c r="N56" s="2189">
        <v>0</v>
      </c>
      <c r="O56" s="2190">
        <f t="shared" si="4"/>
        <v>0</v>
      </c>
    </row>
    <row r="57" spans="1:15" ht="15.75" x14ac:dyDescent="0.25">
      <c r="A57" s="2176"/>
      <c r="B57" s="2176"/>
      <c r="C57" s="2176" t="s">
        <v>1463</v>
      </c>
      <c r="D57" s="2176" t="s">
        <v>1438</v>
      </c>
      <c r="E57" s="2187">
        <v>0</v>
      </c>
      <c r="F57" s="2188">
        <v>0</v>
      </c>
      <c r="G57" s="2188">
        <f t="shared" si="1"/>
        <v>0</v>
      </c>
      <c r="H57" s="2188">
        <v>0</v>
      </c>
      <c r="I57" s="2189">
        <v>0</v>
      </c>
      <c r="J57" s="2189">
        <v>0</v>
      </c>
      <c r="K57" s="2189">
        <v>0</v>
      </c>
      <c r="L57" s="2189">
        <v>0</v>
      </c>
      <c r="M57" s="2190">
        <v>0</v>
      </c>
      <c r="N57" s="2189">
        <v>0</v>
      </c>
      <c r="O57" s="2190">
        <f t="shared" si="4"/>
        <v>0</v>
      </c>
    </row>
    <row r="58" spans="1:15" ht="15.75" x14ac:dyDescent="0.25">
      <c r="A58" s="2176"/>
      <c r="B58" s="2176"/>
      <c r="C58" s="2182" t="s">
        <v>1464</v>
      </c>
      <c r="D58" s="2182" t="s">
        <v>1465</v>
      </c>
      <c r="E58" s="2183">
        <v>0</v>
      </c>
      <c r="F58" s="2184">
        <v>0</v>
      </c>
      <c r="G58" s="2184">
        <f t="shared" si="1"/>
        <v>0</v>
      </c>
      <c r="H58" s="2184">
        <v>0</v>
      </c>
      <c r="I58" s="2185">
        <v>0</v>
      </c>
      <c r="J58" s="2185">
        <v>0</v>
      </c>
      <c r="K58" s="2185">
        <v>0</v>
      </c>
      <c r="L58" s="2185">
        <v>0</v>
      </c>
      <c r="M58" s="2186">
        <v>0</v>
      </c>
      <c r="N58" s="2185">
        <v>0</v>
      </c>
      <c r="O58" s="2186">
        <f t="shared" si="4"/>
        <v>0</v>
      </c>
    </row>
    <row r="59" spans="1:15" ht="31.5" customHeight="1" x14ac:dyDescent="0.25">
      <c r="A59" s="2176"/>
      <c r="B59" s="2181" t="s">
        <v>36</v>
      </c>
      <c r="C59" s="2605" t="s">
        <v>1467</v>
      </c>
      <c r="D59" s="2605"/>
      <c r="E59" s="2177">
        <f t="shared" ref="E59:F61" si="13">SUM(E60)</f>
        <v>0</v>
      </c>
      <c r="F59" s="2178">
        <f t="shared" si="13"/>
        <v>0</v>
      </c>
      <c r="G59" s="2178">
        <f t="shared" si="1"/>
        <v>0</v>
      </c>
      <c r="H59" s="2178">
        <f t="shared" ref="H59:N61" si="14">SUM(H60)</f>
        <v>0</v>
      </c>
      <c r="I59" s="2179">
        <f t="shared" si="14"/>
        <v>0</v>
      </c>
      <c r="J59" s="2179">
        <f t="shared" si="14"/>
        <v>0</v>
      </c>
      <c r="K59" s="2179">
        <f t="shared" si="14"/>
        <v>0</v>
      </c>
      <c r="L59" s="2179">
        <f t="shared" si="14"/>
        <v>0</v>
      </c>
      <c r="M59" s="2180">
        <f t="shared" si="14"/>
        <v>0</v>
      </c>
      <c r="N59" s="2179">
        <f t="shared" si="14"/>
        <v>0</v>
      </c>
      <c r="O59" s="2180">
        <f t="shared" si="4"/>
        <v>0</v>
      </c>
    </row>
    <row r="60" spans="1:15" ht="15.75" x14ac:dyDescent="0.25">
      <c r="A60" s="2176"/>
      <c r="B60" s="2181"/>
      <c r="C60" s="2192" t="s">
        <v>1431</v>
      </c>
      <c r="D60" s="2192" t="s">
        <v>1468</v>
      </c>
      <c r="E60" s="2183">
        <f t="shared" si="13"/>
        <v>0</v>
      </c>
      <c r="F60" s="2184">
        <f t="shared" si="13"/>
        <v>0</v>
      </c>
      <c r="G60" s="2184">
        <f t="shared" si="1"/>
        <v>0</v>
      </c>
      <c r="H60" s="2184">
        <f t="shared" si="14"/>
        <v>0</v>
      </c>
      <c r="I60" s="2185">
        <f t="shared" si="14"/>
        <v>0</v>
      </c>
      <c r="J60" s="2185">
        <f t="shared" si="14"/>
        <v>0</v>
      </c>
      <c r="K60" s="2185">
        <f t="shared" si="14"/>
        <v>0</v>
      </c>
      <c r="L60" s="2185">
        <f t="shared" si="14"/>
        <v>0</v>
      </c>
      <c r="M60" s="2186">
        <f t="shared" si="14"/>
        <v>0</v>
      </c>
      <c r="N60" s="2185">
        <f t="shared" si="14"/>
        <v>0</v>
      </c>
      <c r="O60" s="2186">
        <f t="shared" si="4"/>
        <v>0</v>
      </c>
    </row>
    <row r="61" spans="1:15" ht="15.75" x14ac:dyDescent="0.25">
      <c r="A61" s="2176"/>
      <c r="B61" s="2176"/>
      <c r="C61" s="2176" t="s">
        <v>1469</v>
      </c>
      <c r="D61" s="2176" t="s">
        <v>1470</v>
      </c>
      <c r="E61" s="2187">
        <f t="shared" si="13"/>
        <v>0</v>
      </c>
      <c r="F61" s="2188">
        <f t="shared" si="13"/>
        <v>0</v>
      </c>
      <c r="G61" s="2188">
        <f t="shared" si="1"/>
        <v>0</v>
      </c>
      <c r="H61" s="2188">
        <f t="shared" si="14"/>
        <v>0</v>
      </c>
      <c r="I61" s="2189">
        <f t="shared" si="14"/>
        <v>0</v>
      </c>
      <c r="J61" s="2189">
        <f t="shared" si="14"/>
        <v>0</v>
      </c>
      <c r="K61" s="2189">
        <f t="shared" si="14"/>
        <v>0</v>
      </c>
      <c r="L61" s="2189">
        <f t="shared" si="14"/>
        <v>0</v>
      </c>
      <c r="M61" s="2190">
        <f t="shared" si="14"/>
        <v>0</v>
      </c>
      <c r="N61" s="2189">
        <f t="shared" si="14"/>
        <v>0</v>
      </c>
      <c r="O61" s="2190">
        <f t="shared" si="4"/>
        <v>0</v>
      </c>
    </row>
    <row r="62" spans="1:15" ht="15.75" x14ac:dyDescent="0.25">
      <c r="A62" s="2176"/>
      <c r="B62" s="2176"/>
      <c r="C62" s="2176" t="s">
        <v>1471</v>
      </c>
      <c r="D62" s="2176" t="s">
        <v>1472</v>
      </c>
      <c r="E62" s="2187">
        <f>SUM(E63:E66)</f>
        <v>0</v>
      </c>
      <c r="F62" s="2188">
        <f>SUM(F63:F66)</f>
        <v>0</v>
      </c>
      <c r="G62" s="2188">
        <f t="shared" si="1"/>
        <v>0</v>
      </c>
      <c r="H62" s="2188">
        <f t="shared" ref="H62:N62" si="15">SUM(H63:H66)</f>
        <v>0</v>
      </c>
      <c r="I62" s="2189">
        <f t="shared" si="15"/>
        <v>0</v>
      </c>
      <c r="J62" s="2189">
        <f t="shared" si="15"/>
        <v>0</v>
      </c>
      <c r="K62" s="2189">
        <f t="shared" si="15"/>
        <v>0</v>
      </c>
      <c r="L62" s="2189">
        <f t="shared" si="15"/>
        <v>0</v>
      </c>
      <c r="M62" s="2190">
        <f t="shared" si="15"/>
        <v>0</v>
      </c>
      <c r="N62" s="2189">
        <f t="shared" si="15"/>
        <v>0</v>
      </c>
      <c r="O62" s="2190">
        <f t="shared" si="4"/>
        <v>0</v>
      </c>
    </row>
    <row r="63" spans="1:15" ht="15.75" x14ac:dyDescent="0.25">
      <c r="A63" s="2176"/>
      <c r="B63" s="2176"/>
      <c r="C63" s="2176" t="s">
        <v>1473</v>
      </c>
      <c r="D63" s="2176" t="s">
        <v>1432</v>
      </c>
      <c r="E63" s="2187">
        <v>0</v>
      </c>
      <c r="F63" s="2188">
        <v>0</v>
      </c>
      <c r="G63" s="2188">
        <f t="shared" si="1"/>
        <v>0</v>
      </c>
      <c r="H63" s="2188">
        <v>0</v>
      </c>
      <c r="I63" s="2189">
        <v>0</v>
      </c>
      <c r="J63" s="2189">
        <v>0</v>
      </c>
      <c r="K63" s="2189">
        <v>0</v>
      </c>
      <c r="L63" s="2189">
        <v>0</v>
      </c>
      <c r="M63" s="2190">
        <v>0</v>
      </c>
      <c r="N63" s="2189">
        <v>0</v>
      </c>
      <c r="O63" s="2190">
        <f t="shared" si="4"/>
        <v>0</v>
      </c>
    </row>
    <row r="64" spans="1:15" ht="15.75" x14ac:dyDescent="0.25">
      <c r="A64" s="2176"/>
      <c r="B64" s="2176"/>
      <c r="C64" s="2176" t="s">
        <v>1474</v>
      </c>
      <c r="D64" s="2176" t="s">
        <v>1434</v>
      </c>
      <c r="E64" s="2187">
        <v>0</v>
      </c>
      <c r="F64" s="2188">
        <v>0</v>
      </c>
      <c r="G64" s="2188">
        <f t="shared" si="1"/>
        <v>0</v>
      </c>
      <c r="H64" s="2188">
        <v>0</v>
      </c>
      <c r="I64" s="2189">
        <v>0</v>
      </c>
      <c r="J64" s="2189">
        <v>0</v>
      </c>
      <c r="K64" s="2189">
        <v>0</v>
      </c>
      <c r="L64" s="2189">
        <v>0</v>
      </c>
      <c r="M64" s="2190">
        <v>0</v>
      </c>
      <c r="N64" s="2189">
        <v>0</v>
      </c>
      <c r="O64" s="2190">
        <f t="shared" si="4"/>
        <v>0</v>
      </c>
    </row>
    <row r="65" spans="1:15" ht="15.75" x14ac:dyDescent="0.25">
      <c r="A65" s="2176"/>
      <c r="B65" s="2176"/>
      <c r="C65" s="2176" t="s">
        <v>1475</v>
      </c>
      <c r="D65" s="2176" t="s">
        <v>1436</v>
      </c>
      <c r="E65" s="2187">
        <v>0</v>
      </c>
      <c r="F65" s="2188">
        <v>0</v>
      </c>
      <c r="G65" s="2188">
        <f t="shared" si="1"/>
        <v>0</v>
      </c>
      <c r="H65" s="2188">
        <v>0</v>
      </c>
      <c r="I65" s="2189">
        <v>0</v>
      </c>
      <c r="J65" s="2189">
        <v>0</v>
      </c>
      <c r="K65" s="2189">
        <v>0</v>
      </c>
      <c r="L65" s="2189">
        <v>0</v>
      </c>
      <c r="M65" s="2190">
        <v>0</v>
      </c>
      <c r="N65" s="2189">
        <v>0</v>
      </c>
      <c r="O65" s="2190">
        <f t="shared" si="4"/>
        <v>0</v>
      </c>
    </row>
    <row r="66" spans="1:15" ht="15.75" x14ac:dyDescent="0.25">
      <c r="A66" s="2176"/>
      <c r="B66" s="2176"/>
      <c r="C66" s="2176" t="s">
        <v>1476</v>
      </c>
      <c r="D66" s="2176" t="s">
        <v>1438</v>
      </c>
      <c r="E66" s="2187">
        <v>0</v>
      </c>
      <c r="F66" s="2188">
        <v>0</v>
      </c>
      <c r="G66" s="2188">
        <f t="shared" si="1"/>
        <v>0</v>
      </c>
      <c r="H66" s="2188">
        <v>0</v>
      </c>
      <c r="I66" s="2189">
        <v>0</v>
      </c>
      <c r="J66" s="2189">
        <v>0</v>
      </c>
      <c r="K66" s="2189">
        <v>0</v>
      </c>
      <c r="L66" s="2189">
        <v>0</v>
      </c>
      <c r="M66" s="2190">
        <v>0</v>
      </c>
      <c r="N66" s="2189">
        <v>0</v>
      </c>
      <c r="O66" s="2190">
        <f t="shared" si="4"/>
        <v>0</v>
      </c>
    </row>
    <row r="67" spans="1:15" ht="15.75" x14ac:dyDescent="0.25">
      <c r="A67" s="2176" t="s">
        <v>1233</v>
      </c>
      <c r="B67" s="2176" t="s">
        <v>1234</v>
      </c>
      <c r="C67" s="2176"/>
      <c r="D67" s="2176"/>
      <c r="E67" s="2183">
        <f>SUM(E68,E74)</f>
        <v>151747</v>
      </c>
      <c r="F67" s="2184">
        <f>SUM(F68,F74)</f>
        <v>0</v>
      </c>
      <c r="G67" s="2184">
        <f>SUM(E67:F67)</f>
        <v>151747</v>
      </c>
      <c r="H67" s="2184">
        <f t="shared" ref="H67:N67" si="16">SUM(H68,H74)</f>
        <v>811</v>
      </c>
      <c r="I67" s="2185">
        <f t="shared" si="16"/>
        <v>0</v>
      </c>
      <c r="J67" s="2185">
        <f t="shared" si="16"/>
        <v>0</v>
      </c>
      <c r="K67" s="2185">
        <f t="shared" si="16"/>
        <v>0</v>
      </c>
      <c r="L67" s="2185">
        <f t="shared" si="16"/>
        <v>359</v>
      </c>
      <c r="M67" s="2186">
        <f t="shared" si="16"/>
        <v>0</v>
      </c>
      <c r="N67" s="2185">
        <f t="shared" si="16"/>
        <v>452</v>
      </c>
      <c r="O67" s="2186">
        <f t="shared" si="4"/>
        <v>153369</v>
      </c>
    </row>
    <row r="68" spans="1:15" ht="15.75" x14ac:dyDescent="0.25">
      <c r="A68" s="2176"/>
      <c r="B68" s="2181" t="s">
        <v>482</v>
      </c>
      <c r="C68" s="2606" t="s">
        <v>1235</v>
      </c>
      <c r="D68" s="2607"/>
      <c r="E68" s="2177">
        <f>SUM(E69)</f>
        <v>1747</v>
      </c>
      <c r="F68" s="2178">
        <f>SUM(F69)</f>
        <v>0</v>
      </c>
      <c r="G68" s="2178">
        <f t="shared" si="1"/>
        <v>1747</v>
      </c>
      <c r="H68" s="2178">
        <f t="shared" ref="H68:N68" si="17">SUM(H69)</f>
        <v>811</v>
      </c>
      <c r="I68" s="2179">
        <f t="shared" si="17"/>
        <v>0</v>
      </c>
      <c r="J68" s="2179">
        <f t="shared" si="17"/>
        <v>0</v>
      </c>
      <c r="K68" s="2179">
        <f t="shared" si="17"/>
        <v>0</v>
      </c>
      <c r="L68" s="2179">
        <f t="shared" si="17"/>
        <v>359</v>
      </c>
      <c r="M68" s="2180">
        <f t="shared" si="17"/>
        <v>0</v>
      </c>
      <c r="N68" s="2179">
        <f t="shared" si="17"/>
        <v>452</v>
      </c>
      <c r="O68" s="2180">
        <f t="shared" si="4"/>
        <v>3369</v>
      </c>
    </row>
    <row r="69" spans="1:15" ht="15.75" x14ac:dyDescent="0.25">
      <c r="A69" s="2176"/>
      <c r="B69" s="2176"/>
      <c r="C69" s="2182" t="s">
        <v>1429</v>
      </c>
      <c r="D69" s="2182" t="s">
        <v>1477</v>
      </c>
      <c r="E69" s="2183">
        <f>SUM(E70:E73)</f>
        <v>1747</v>
      </c>
      <c r="F69" s="2184">
        <f>SUM(F70:F73)</f>
        <v>0</v>
      </c>
      <c r="G69" s="2184">
        <f t="shared" si="1"/>
        <v>1747</v>
      </c>
      <c r="H69" s="2184">
        <f t="shared" ref="H69:M69" si="18">SUM(H70:H73)</f>
        <v>811</v>
      </c>
      <c r="I69" s="2185">
        <f t="shared" si="18"/>
        <v>0</v>
      </c>
      <c r="J69" s="2185">
        <f t="shared" si="18"/>
        <v>0</v>
      </c>
      <c r="K69" s="2185">
        <f t="shared" si="18"/>
        <v>0</v>
      </c>
      <c r="L69" s="2185">
        <f t="shared" si="18"/>
        <v>359</v>
      </c>
      <c r="M69" s="2186">
        <f t="shared" si="18"/>
        <v>0</v>
      </c>
      <c r="N69" s="2185">
        <f>SUM(N70:N73)</f>
        <v>452</v>
      </c>
      <c r="O69" s="2186">
        <f t="shared" si="4"/>
        <v>3369</v>
      </c>
    </row>
    <row r="70" spans="1:15" ht="15.75" x14ac:dyDescent="0.25">
      <c r="A70" s="2176"/>
      <c r="B70" s="2176"/>
      <c r="C70" s="2176" t="s">
        <v>1431</v>
      </c>
      <c r="D70" s="2176" t="s">
        <v>1432</v>
      </c>
      <c r="E70" s="2187">
        <v>0</v>
      </c>
      <c r="F70" s="2188">
        <v>0</v>
      </c>
      <c r="G70" s="2188">
        <f t="shared" si="1"/>
        <v>0</v>
      </c>
      <c r="H70" s="2188">
        <v>0</v>
      </c>
      <c r="I70" s="2189">
        <v>0</v>
      </c>
      <c r="J70" s="2189">
        <v>0</v>
      </c>
      <c r="K70" s="2189">
        <v>0</v>
      </c>
      <c r="L70" s="2189">
        <v>0</v>
      </c>
      <c r="M70" s="2190">
        <v>0</v>
      </c>
      <c r="N70" s="2189">
        <v>0</v>
      </c>
      <c r="O70" s="2190">
        <f t="shared" si="4"/>
        <v>0</v>
      </c>
    </row>
    <row r="71" spans="1:15" ht="15.75" x14ac:dyDescent="0.25">
      <c r="A71" s="2176"/>
      <c r="B71" s="2176"/>
      <c r="C71" s="2176" t="s">
        <v>1433</v>
      </c>
      <c r="D71" s="2176" t="s">
        <v>1434</v>
      </c>
      <c r="E71" s="2187">
        <v>0</v>
      </c>
      <c r="F71" s="2188">
        <v>0</v>
      </c>
      <c r="G71" s="2188">
        <f t="shared" si="1"/>
        <v>0</v>
      </c>
      <c r="H71" s="2188">
        <v>0</v>
      </c>
      <c r="I71" s="2189">
        <v>0</v>
      </c>
      <c r="J71" s="2189">
        <v>0</v>
      </c>
      <c r="K71" s="2189">
        <v>0</v>
      </c>
      <c r="L71" s="2189">
        <v>0</v>
      </c>
      <c r="M71" s="2190">
        <v>0</v>
      </c>
      <c r="N71" s="2189">
        <v>0</v>
      </c>
      <c r="O71" s="2190">
        <f t="shared" si="4"/>
        <v>0</v>
      </c>
    </row>
    <row r="72" spans="1:15" ht="15.75" x14ac:dyDescent="0.25">
      <c r="A72" s="2176"/>
      <c r="B72" s="2176"/>
      <c r="C72" s="2176" t="s">
        <v>1435</v>
      </c>
      <c r="D72" s="2176" t="s">
        <v>1436</v>
      </c>
      <c r="E72" s="2187">
        <v>0</v>
      </c>
      <c r="F72" s="2188">
        <v>0</v>
      </c>
      <c r="G72" s="2188">
        <f t="shared" si="1"/>
        <v>0</v>
      </c>
      <c r="H72" s="2188">
        <v>0</v>
      </c>
      <c r="I72" s="2189">
        <v>0</v>
      </c>
      <c r="J72" s="2189">
        <v>0</v>
      </c>
      <c r="K72" s="2189">
        <v>0</v>
      </c>
      <c r="L72" s="2189">
        <v>0</v>
      </c>
      <c r="M72" s="2190">
        <v>0</v>
      </c>
      <c r="N72" s="2189">
        <v>0</v>
      </c>
      <c r="O72" s="2190">
        <f t="shared" si="4"/>
        <v>0</v>
      </c>
    </row>
    <row r="73" spans="1:15" ht="15.75" x14ac:dyDescent="0.25">
      <c r="A73" s="2176"/>
      <c r="B73" s="2176"/>
      <c r="C73" s="2176" t="s">
        <v>1437</v>
      </c>
      <c r="D73" s="2176" t="s">
        <v>1438</v>
      </c>
      <c r="E73" s="2187">
        <v>1747</v>
      </c>
      <c r="F73" s="2188">
        <v>0</v>
      </c>
      <c r="G73" s="2188">
        <f t="shared" si="1"/>
        <v>1747</v>
      </c>
      <c r="H73" s="2188">
        <v>811</v>
      </c>
      <c r="I73" s="2189">
        <v>0</v>
      </c>
      <c r="J73" s="2189">
        <v>0</v>
      </c>
      <c r="K73" s="2189">
        <v>0</v>
      </c>
      <c r="L73" s="2189">
        <v>359</v>
      </c>
      <c r="M73" s="2190">
        <v>0</v>
      </c>
      <c r="N73" s="2189">
        <v>452</v>
      </c>
      <c r="O73" s="2190">
        <f t="shared" si="4"/>
        <v>3369</v>
      </c>
    </row>
    <row r="74" spans="1:15" ht="15.75" x14ac:dyDescent="0.25">
      <c r="A74" s="2176"/>
      <c r="B74" s="2181" t="s">
        <v>504</v>
      </c>
      <c r="C74" s="2181" t="s">
        <v>1236</v>
      </c>
      <c r="D74" s="2181"/>
      <c r="E74" s="2177">
        <v>150000</v>
      </c>
      <c r="F74" s="2178">
        <v>0</v>
      </c>
      <c r="G74" s="2178">
        <f t="shared" si="1"/>
        <v>150000</v>
      </c>
      <c r="H74" s="2178">
        <v>0</v>
      </c>
      <c r="I74" s="2179">
        <v>0</v>
      </c>
      <c r="J74" s="2179">
        <v>0</v>
      </c>
      <c r="K74" s="2179">
        <v>0</v>
      </c>
      <c r="L74" s="2179">
        <v>0</v>
      </c>
      <c r="M74" s="2180">
        <v>0</v>
      </c>
      <c r="N74" s="2179">
        <v>0</v>
      </c>
      <c r="O74" s="2180">
        <f t="shared" si="4"/>
        <v>150000</v>
      </c>
    </row>
    <row r="75" spans="1:15" ht="15.75" x14ac:dyDescent="0.25">
      <c r="A75" s="2176" t="s">
        <v>1237</v>
      </c>
      <c r="B75" s="2176" t="s">
        <v>1238</v>
      </c>
      <c r="C75" s="2176"/>
      <c r="D75" s="2176"/>
      <c r="E75" s="2183">
        <f>SUM(E77,E82)</f>
        <v>327232</v>
      </c>
      <c r="F75" s="2184">
        <f>SUM(F77,F82)</f>
        <v>0</v>
      </c>
      <c r="G75" s="2184">
        <f t="shared" si="1"/>
        <v>327232</v>
      </c>
      <c r="H75" s="2184">
        <f t="shared" ref="H75:N75" si="19">SUM(H77,H82)</f>
        <v>2527</v>
      </c>
      <c r="I75" s="2185">
        <f t="shared" si="19"/>
        <v>133</v>
      </c>
      <c r="J75" s="2185">
        <f t="shared" si="19"/>
        <v>192</v>
      </c>
      <c r="K75" s="2185">
        <f t="shared" si="19"/>
        <v>120</v>
      </c>
      <c r="L75" s="2185">
        <f t="shared" si="19"/>
        <v>118</v>
      </c>
      <c r="M75" s="2186">
        <f t="shared" si="19"/>
        <v>146</v>
      </c>
      <c r="N75" s="2185">
        <f t="shared" si="19"/>
        <v>24835</v>
      </c>
      <c r="O75" s="2186">
        <f t="shared" si="4"/>
        <v>355303</v>
      </c>
    </row>
    <row r="76" spans="1:15" ht="15.75" x14ac:dyDescent="0.25">
      <c r="A76" s="2176"/>
      <c r="B76" s="2181" t="s">
        <v>482</v>
      </c>
      <c r="C76" s="2181" t="s">
        <v>1478</v>
      </c>
      <c r="D76" s="2181"/>
      <c r="E76" s="2177">
        <v>0</v>
      </c>
      <c r="F76" s="2178">
        <v>0</v>
      </c>
      <c r="G76" s="2178">
        <f t="shared" ref="G76:G114" si="20">SUM(E76:F76)</f>
        <v>0</v>
      </c>
      <c r="H76" s="2178">
        <v>0</v>
      </c>
      <c r="I76" s="2179">
        <v>0</v>
      </c>
      <c r="J76" s="2179">
        <v>0</v>
      </c>
      <c r="K76" s="2179">
        <v>0</v>
      </c>
      <c r="L76" s="2179">
        <v>0</v>
      </c>
      <c r="M76" s="2180">
        <v>0</v>
      </c>
      <c r="N76" s="2179">
        <v>0</v>
      </c>
      <c r="O76" s="2180">
        <f t="shared" si="4"/>
        <v>0</v>
      </c>
    </row>
    <row r="77" spans="1:15" ht="15.75" x14ac:dyDescent="0.25">
      <c r="A77" s="2176"/>
      <c r="B77" s="2181" t="s">
        <v>1479</v>
      </c>
      <c r="C77" s="2181" t="s">
        <v>1480</v>
      </c>
      <c r="D77" s="2181"/>
      <c r="E77" s="2177">
        <f>SUM(E78:E81)</f>
        <v>668</v>
      </c>
      <c r="F77" s="2178">
        <f>SUM(F78:F81)</f>
        <v>0</v>
      </c>
      <c r="G77" s="2178">
        <f t="shared" si="20"/>
        <v>668</v>
      </c>
      <c r="H77" s="2178">
        <f t="shared" ref="H77:N77" si="21">SUM(H78:H81)</f>
        <v>440</v>
      </c>
      <c r="I77" s="2179">
        <f t="shared" si="21"/>
        <v>0</v>
      </c>
      <c r="J77" s="2179">
        <f t="shared" si="21"/>
        <v>0</v>
      </c>
      <c r="K77" s="2179">
        <f t="shared" si="21"/>
        <v>0</v>
      </c>
      <c r="L77" s="2179">
        <f t="shared" si="21"/>
        <v>0</v>
      </c>
      <c r="M77" s="2180">
        <f t="shared" si="21"/>
        <v>0</v>
      </c>
      <c r="N77" s="2179">
        <f t="shared" si="21"/>
        <v>117</v>
      </c>
      <c r="O77" s="2180">
        <f t="shared" si="4"/>
        <v>1225</v>
      </c>
    </row>
    <row r="78" spans="1:15" ht="15.75" x14ac:dyDescent="0.25">
      <c r="A78" s="2176"/>
      <c r="B78" s="2176"/>
      <c r="C78" s="2176"/>
      <c r="D78" s="2176" t="s">
        <v>1432</v>
      </c>
      <c r="E78" s="2187">
        <v>0</v>
      </c>
      <c r="F78" s="2188">
        <v>0</v>
      </c>
      <c r="G78" s="2188">
        <f t="shared" si="20"/>
        <v>0</v>
      </c>
      <c r="H78" s="2188">
        <v>0</v>
      </c>
      <c r="I78" s="2189">
        <v>0</v>
      </c>
      <c r="J78" s="2189">
        <v>0</v>
      </c>
      <c r="K78" s="2189">
        <v>0</v>
      </c>
      <c r="L78" s="2189">
        <v>0</v>
      </c>
      <c r="M78" s="2190">
        <v>0</v>
      </c>
      <c r="N78" s="2189">
        <v>0</v>
      </c>
      <c r="O78" s="2190">
        <f t="shared" ref="O78:O115" si="22">SUM(G78:N78)</f>
        <v>0</v>
      </c>
    </row>
    <row r="79" spans="1:15" ht="15.75" x14ac:dyDescent="0.25">
      <c r="A79" s="2176"/>
      <c r="B79" s="2176"/>
      <c r="C79" s="2176"/>
      <c r="D79" s="2176" t="s">
        <v>1434</v>
      </c>
      <c r="E79" s="2187">
        <v>0</v>
      </c>
      <c r="F79" s="2188">
        <v>0</v>
      </c>
      <c r="G79" s="2188">
        <f t="shared" si="20"/>
        <v>0</v>
      </c>
      <c r="H79" s="2188">
        <v>0</v>
      </c>
      <c r="I79" s="2189">
        <v>0</v>
      </c>
      <c r="J79" s="2189">
        <v>0</v>
      </c>
      <c r="K79" s="2189">
        <v>0</v>
      </c>
      <c r="L79" s="2189">
        <v>0</v>
      </c>
      <c r="M79" s="2190">
        <v>0</v>
      </c>
      <c r="N79" s="2189">
        <v>0</v>
      </c>
      <c r="O79" s="2190">
        <f t="shared" si="22"/>
        <v>0</v>
      </c>
    </row>
    <row r="80" spans="1:15" ht="15.75" x14ac:dyDescent="0.25">
      <c r="A80" s="2176"/>
      <c r="B80" s="2176"/>
      <c r="C80" s="2176"/>
      <c r="D80" s="2176" t="s">
        <v>1436</v>
      </c>
      <c r="E80" s="2187">
        <v>0</v>
      </c>
      <c r="F80" s="2188">
        <v>0</v>
      </c>
      <c r="G80" s="2188">
        <f t="shared" si="20"/>
        <v>0</v>
      </c>
      <c r="H80" s="2188">
        <v>0</v>
      </c>
      <c r="I80" s="2189">
        <v>0</v>
      </c>
      <c r="J80" s="2189">
        <v>0</v>
      </c>
      <c r="K80" s="2189">
        <v>0</v>
      </c>
      <c r="L80" s="2189">
        <v>0</v>
      </c>
      <c r="M80" s="2190">
        <v>0</v>
      </c>
      <c r="N80" s="2189">
        <v>0</v>
      </c>
      <c r="O80" s="2190">
        <f t="shared" si="22"/>
        <v>0</v>
      </c>
    </row>
    <row r="81" spans="1:15" ht="15.75" x14ac:dyDescent="0.25">
      <c r="A81" s="2176"/>
      <c r="B81" s="2176"/>
      <c r="C81" s="2176"/>
      <c r="D81" s="2176" t="s">
        <v>1438</v>
      </c>
      <c r="E81" s="2187">
        <v>668</v>
      </c>
      <c r="F81" s="2188">
        <v>0</v>
      </c>
      <c r="G81" s="2188">
        <f t="shared" si="20"/>
        <v>668</v>
      </c>
      <c r="H81" s="2188">
        <v>440</v>
      </c>
      <c r="I81" s="2189">
        <v>0</v>
      </c>
      <c r="J81" s="2189">
        <v>0</v>
      </c>
      <c r="K81" s="2189">
        <v>0</v>
      </c>
      <c r="L81" s="2189">
        <v>0</v>
      </c>
      <c r="M81" s="2190">
        <v>0</v>
      </c>
      <c r="N81" s="2189">
        <v>117</v>
      </c>
      <c r="O81" s="2190">
        <f t="shared" si="22"/>
        <v>1225</v>
      </c>
    </row>
    <row r="82" spans="1:15" ht="15.75" x14ac:dyDescent="0.25">
      <c r="A82" s="2176"/>
      <c r="B82" s="2181" t="s">
        <v>513</v>
      </c>
      <c r="C82" s="2181" t="s">
        <v>1481</v>
      </c>
      <c r="D82" s="2193"/>
      <c r="E82" s="2177">
        <f>SUM(E83:E86)</f>
        <v>326564</v>
      </c>
      <c r="F82" s="2178">
        <f>SUM(F83:F86)</f>
        <v>0</v>
      </c>
      <c r="G82" s="2178">
        <f t="shared" si="20"/>
        <v>326564</v>
      </c>
      <c r="H82" s="2178">
        <f t="shared" ref="H82:N82" si="23">SUM(H83:H86)</f>
        <v>2087</v>
      </c>
      <c r="I82" s="2179">
        <f t="shared" si="23"/>
        <v>133</v>
      </c>
      <c r="J82" s="2179">
        <f t="shared" si="23"/>
        <v>192</v>
      </c>
      <c r="K82" s="2179">
        <f t="shared" si="23"/>
        <v>120</v>
      </c>
      <c r="L82" s="2179">
        <f t="shared" si="23"/>
        <v>118</v>
      </c>
      <c r="M82" s="2180">
        <f t="shared" si="23"/>
        <v>146</v>
      </c>
      <c r="N82" s="2179">
        <f t="shared" si="23"/>
        <v>24718</v>
      </c>
      <c r="O82" s="2180">
        <f t="shared" si="22"/>
        <v>354078</v>
      </c>
    </row>
    <row r="83" spans="1:15" ht="15.75" x14ac:dyDescent="0.25">
      <c r="A83" s="2176"/>
      <c r="B83" s="2176"/>
      <c r="C83" s="2176"/>
      <c r="D83" s="2176" t="s">
        <v>1432</v>
      </c>
      <c r="E83" s="2187">
        <v>0</v>
      </c>
      <c r="F83" s="2188">
        <v>0</v>
      </c>
      <c r="G83" s="2188">
        <f t="shared" si="20"/>
        <v>0</v>
      </c>
      <c r="H83" s="2188">
        <v>0</v>
      </c>
      <c r="I83" s="2189">
        <v>0</v>
      </c>
      <c r="J83" s="2189">
        <v>0</v>
      </c>
      <c r="K83" s="2189">
        <v>0</v>
      </c>
      <c r="L83" s="2189">
        <v>0</v>
      </c>
      <c r="M83" s="2190">
        <v>0</v>
      </c>
      <c r="N83" s="2189">
        <v>0</v>
      </c>
      <c r="O83" s="2190">
        <f t="shared" si="22"/>
        <v>0</v>
      </c>
    </row>
    <row r="84" spans="1:15" ht="15.75" x14ac:dyDescent="0.25">
      <c r="A84" s="2176"/>
      <c r="B84" s="2176"/>
      <c r="C84" s="2176"/>
      <c r="D84" s="2176" t="s">
        <v>1434</v>
      </c>
      <c r="E84" s="2187">
        <v>0</v>
      </c>
      <c r="F84" s="2188">
        <v>0</v>
      </c>
      <c r="G84" s="2188">
        <f t="shared" si="20"/>
        <v>0</v>
      </c>
      <c r="H84" s="2188">
        <v>0</v>
      </c>
      <c r="I84" s="2189">
        <v>0</v>
      </c>
      <c r="J84" s="2189">
        <v>0</v>
      </c>
      <c r="K84" s="2189">
        <v>0</v>
      </c>
      <c r="L84" s="2189">
        <v>0</v>
      </c>
      <c r="M84" s="2190">
        <v>0</v>
      </c>
      <c r="N84" s="2189">
        <v>0</v>
      </c>
      <c r="O84" s="2190">
        <f t="shared" si="22"/>
        <v>0</v>
      </c>
    </row>
    <row r="85" spans="1:15" ht="15.75" x14ac:dyDescent="0.25">
      <c r="A85" s="2176"/>
      <c r="B85" s="2176"/>
      <c r="C85" s="2176"/>
      <c r="D85" s="2176" t="s">
        <v>1436</v>
      </c>
      <c r="E85" s="2187">
        <v>0</v>
      </c>
      <c r="F85" s="2188">
        <v>0</v>
      </c>
      <c r="G85" s="2188">
        <f t="shared" si="20"/>
        <v>0</v>
      </c>
      <c r="H85" s="2188">
        <v>0</v>
      </c>
      <c r="I85" s="2189">
        <v>0</v>
      </c>
      <c r="J85" s="2189">
        <v>0</v>
      </c>
      <c r="K85" s="2189">
        <v>0</v>
      </c>
      <c r="L85" s="2189">
        <v>0</v>
      </c>
      <c r="M85" s="2190">
        <v>0</v>
      </c>
      <c r="N85" s="2189">
        <v>0</v>
      </c>
      <c r="O85" s="2190">
        <f t="shared" si="22"/>
        <v>0</v>
      </c>
    </row>
    <row r="86" spans="1:15" ht="15.75" x14ac:dyDescent="0.25">
      <c r="A86" s="2176"/>
      <c r="B86" s="2176"/>
      <c r="C86" s="2176"/>
      <c r="D86" s="2176" t="s">
        <v>1438</v>
      </c>
      <c r="E86" s="2187">
        <v>326564</v>
      </c>
      <c r="F86" s="2188">
        <v>0</v>
      </c>
      <c r="G86" s="2188">
        <f t="shared" si="20"/>
        <v>326564</v>
      </c>
      <c r="H86" s="2188">
        <v>2087</v>
      </c>
      <c r="I86" s="2189">
        <v>133</v>
      </c>
      <c r="J86" s="2189">
        <v>192</v>
      </c>
      <c r="K86" s="2189">
        <v>120</v>
      </c>
      <c r="L86" s="2189">
        <v>118</v>
      </c>
      <c r="M86" s="2190">
        <v>146</v>
      </c>
      <c r="N86" s="2189">
        <v>24718</v>
      </c>
      <c r="O86" s="2190">
        <f t="shared" si="22"/>
        <v>354078</v>
      </c>
    </row>
    <row r="87" spans="1:15" ht="15.75" x14ac:dyDescent="0.25">
      <c r="A87" s="2176"/>
      <c r="B87" s="2181" t="s">
        <v>36</v>
      </c>
      <c r="C87" s="2181" t="s">
        <v>1482</v>
      </c>
      <c r="D87" s="2181"/>
      <c r="E87" s="2177">
        <v>0</v>
      </c>
      <c r="F87" s="2178">
        <v>0</v>
      </c>
      <c r="G87" s="2178">
        <f t="shared" si="20"/>
        <v>0</v>
      </c>
      <c r="H87" s="2178">
        <v>0</v>
      </c>
      <c r="I87" s="2179">
        <v>0</v>
      </c>
      <c r="J87" s="2179">
        <v>0</v>
      </c>
      <c r="K87" s="2179">
        <v>0</v>
      </c>
      <c r="L87" s="2179">
        <v>0</v>
      </c>
      <c r="M87" s="2180">
        <v>0</v>
      </c>
      <c r="N87" s="2179">
        <v>0</v>
      </c>
      <c r="O87" s="2180">
        <f t="shared" si="22"/>
        <v>0</v>
      </c>
    </row>
    <row r="88" spans="1:15" ht="15.75" x14ac:dyDescent="0.25">
      <c r="A88" s="2176"/>
      <c r="B88" s="2181" t="s">
        <v>1254</v>
      </c>
      <c r="C88" s="2181" t="s">
        <v>1483</v>
      </c>
      <c r="D88" s="2181"/>
      <c r="E88" s="2177">
        <v>0</v>
      </c>
      <c r="F88" s="2178">
        <v>0</v>
      </c>
      <c r="G88" s="2178">
        <f t="shared" si="20"/>
        <v>0</v>
      </c>
      <c r="H88" s="2178">
        <v>0</v>
      </c>
      <c r="I88" s="2179">
        <v>0</v>
      </c>
      <c r="J88" s="2179">
        <v>0</v>
      </c>
      <c r="K88" s="2179">
        <v>0</v>
      </c>
      <c r="L88" s="2179">
        <v>0</v>
      </c>
      <c r="M88" s="2180">
        <v>0</v>
      </c>
      <c r="N88" s="2179">
        <v>0</v>
      </c>
      <c r="O88" s="2180">
        <f t="shared" si="22"/>
        <v>0</v>
      </c>
    </row>
    <row r="89" spans="1:15" s="2165" customFormat="1" ht="15.75" x14ac:dyDescent="0.25">
      <c r="A89" s="2194" t="s">
        <v>1239</v>
      </c>
      <c r="B89" s="2194" t="s">
        <v>1484</v>
      </c>
      <c r="C89" s="2194"/>
      <c r="D89" s="2194"/>
      <c r="E89" s="2183">
        <f>SUM(E90,E95,E100)</f>
        <v>194120</v>
      </c>
      <c r="F89" s="2184">
        <f>SUM(F90,F95,F100)</f>
        <v>0</v>
      </c>
      <c r="G89" s="2184">
        <f t="shared" si="20"/>
        <v>194120</v>
      </c>
      <c r="H89" s="2184">
        <f t="shared" ref="H89:N89" si="24">SUM(H90,H95,H100)</f>
        <v>1560</v>
      </c>
      <c r="I89" s="2185">
        <f t="shared" si="24"/>
        <v>0</v>
      </c>
      <c r="J89" s="2185">
        <f t="shared" si="24"/>
        <v>0</v>
      </c>
      <c r="K89" s="2185">
        <f t="shared" si="24"/>
        <v>0</v>
      </c>
      <c r="L89" s="2185">
        <f t="shared" si="24"/>
        <v>119</v>
      </c>
      <c r="M89" s="2185">
        <f t="shared" si="24"/>
        <v>0</v>
      </c>
      <c r="N89" s="2185">
        <f t="shared" si="24"/>
        <v>235</v>
      </c>
      <c r="O89" s="2185">
        <f t="shared" si="22"/>
        <v>196034</v>
      </c>
    </row>
    <row r="90" spans="1:15" ht="15.75" x14ac:dyDescent="0.25">
      <c r="A90" s="2176"/>
      <c r="B90" s="2193" t="s">
        <v>482</v>
      </c>
      <c r="C90" s="2181" t="s">
        <v>1485</v>
      </c>
      <c r="D90" s="2181"/>
      <c r="E90" s="2177">
        <f>SUM(E91:E94)</f>
        <v>194120</v>
      </c>
      <c r="F90" s="2178">
        <f>SUM(F91:F94)</f>
        <v>0</v>
      </c>
      <c r="G90" s="2178">
        <f t="shared" si="20"/>
        <v>194120</v>
      </c>
      <c r="H90" s="2178">
        <f>SUM(H91:H94)</f>
        <v>1560</v>
      </c>
      <c r="I90" s="2179">
        <f t="shared" ref="I90:N90" si="25">SUM(I91:I94)</f>
        <v>0</v>
      </c>
      <c r="J90" s="2179">
        <f t="shared" si="25"/>
        <v>0</v>
      </c>
      <c r="K90" s="2179">
        <f t="shared" si="25"/>
        <v>0</v>
      </c>
      <c r="L90" s="2179">
        <f t="shared" si="25"/>
        <v>119</v>
      </c>
      <c r="M90" s="2180">
        <f t="shared" si="25"/>
        <v>0</v>
      </c>
      <c r="N90" s="2179">
        <f t="shared" si="25"/>
        <v>188</v>
      </c>
      <c r="O90" s="2180">
        <f t="shared" si="22"/>
        <v>195987</v>
      </c>
    </row>
    <row r="91" spans="1:15" ht="15.75" x14ac:dyDescent="0.25">
      <c r="A91" s="2176"/>
      <c r="B91" s="2176"/>
      <c r="C91" s="2176"/>
      <c r="D91" s="2176" t="s">
        <v>1432</v>
      </c>
      <c r="E91" s="2187">
        <v>0</v>
      </c>
      <c r="F91" s="2188">
        <v>0</v>
      </c>
      <c r="G91" s="2188">
        <f t="shared" si="20"/>
        <v>0</v>
      </c>
      <c r="H91" s="2188">
        <v>0</v>
      </c>
      <c r="I91" s="2189">
        <v>0</v>
      </c>
      <c r="J91" s="2189">
        <v>0</v>
      </c>
      <c r="K91" s="2189">
        <v>0</v>
      </c>
      <c r="L91" s="2189">
        <v>0</v>
      </c>
      <c r="M91" s="2190">
        <v>0</v>
      </c>
      <c r="N91" s="2189">
        <v>0</v>
      </c>
      <c r="O91" s="2190">
        <f t="shared" si="22"/>
        <v>0</v>
      </c>
    </row>
    <row r="92" spans="1:15" ht="15.75" x14ac:dyDescent="0.25">
      <c r="A92" s="2176"/>
      <c r="B92" s="2176"/>
      <c r="C92" s="2176"/>
      <c r="D92" s="2176" t="s">
        <v>1434</v>
      </c>
      <c r="E92" s="2187">
        <v>0</v>
      </c>
      <c r="F92" s="2188">
        <v>0</v>
      </c>
      <c r="G92" s="2188">
        <f t="shared" si="20"/>
        <v>0</v>
      </c>
      <c r="H92" s="2188">
        <v>0</v>
      </c>
      <c r="I92" s="2189">
        <v>0</v>
      </c>
      <c r="J92" s="2189">
        <v>0</v>
      </c>
      <c r="K92" s="2189">
        <v>0</v>
      </c>
      <c r="L92" s="2189">
        <v>0</v>
      </c>
      <c r="M92" s="2190">
        <v>0</v>
      </c>
      <c r="N92" s="2189">
        <v>0</v>
      </c>
      <c r="O92" s="2190">
        <f t="shared" si="22"/>
        <v>0</v>
      </c>
    </row>
    <row r="93" spans="1:15" ht="15.75" x14ac:dyDescent="0.25">
      <c r="A93" s="2176"/>
      <c r="B93" s="2176"/>
      <c r="C93" s="2176"/>
      <c r="D93" s="2176" t="s">
        <v>1436</v>
      </c>
      <c r="E93" s="2187">
        <v>31063</v>
      </c>
      <c r="F93" s="2188">
        <v>0</v>
      </c>
      <c r="G93" s="2188">
        <f t="shared" si="20"/>
        <v>31063</v>
      </c>
      <c r="H93" s="2188">
        <v>1166</v>
      </c>
      <c r="I93" s="2189">
        <v>0</v>
      </c>
      <c r="J93" s="2189">
        <v>0</v>
      </c>
      <c r="K93" s="2189">
        <v>0</v>
      </c>
      <c r="L93" s="2189">
        <v>0</v>
      </c>
      <c r="M93" s="2190">
        <v>0</v>
      </c>
      <c r="N93" s="2189">
        <v>0</v>
      </c>
      <c r="O93" s="2190">
        <f t="shared" si="22"/>
        <v>32229</v>
      </c>
    </row>
    <row r="94" spans="1:15" ht="15.75" x14ac:dyDescent="0.25">
      <c r="A94" s="2176"/>
      <c r="B94" s="2176"/>
      <c r="C94" s="2176"/>
      <c r="D94" s="2176" t="s">
        <v>1438</v>
      </c>
      <c r="E94" s="2187">
        <v>163057</v>
      </c>
      <c r="F94" s="2188">
        <v>0</v>
      </c>
      <c r="G94" s="2188">
        <f t="shared" si="20"/>
        <v>163057</v>
      </c>
      <c r="H94" s="2188">
        <v>394</v>
      </c>
      <c r="I94" s="2189">
        <v>0</v>
      </c>
      <c r="J94" s="2189">
        <v>0</v>
      </c>
      <c r="K94" s="2189">
        <v>0</v>
      </c>
      <c r="L94" s="2189">
        <v>119</v>
      </c>
      <c r="M94" s="2190">
        <v>0</v>
      </c>
      <c r="N94" s="2189">
        <v>188</v>
      </c>
      <c r="O94" s="2190">
        <f t="shared" si="22"/>
        <v>163758</v>
      </c>
    </row>
    <row r="95" spans="1:15" ht="15.75" x14ac:dyDescent="0.25">
      <c r="A95" s="2176"/>
      <c r="B95" s="2193" t="s">
        <v>504</v>
      </c>
      <c r="C95" s="2181" t="s">
        <v>1486</v>
      </c>
      <c r="D95" s="2181"/>
      <c r="E95" s="2177">
        <f>SUM(E96:E99)</f>
        <v>0</v>
      </c>
      <c r="F95" s="2178">
        <f>SUM(F96:F99)</f>
        <v>0</v>
      </c>
      <c r="G95" s="2178">
        <f t="shared" si="20"/>
        <v>0</v>
      </c>
      <c r="H95" s="2178">
        <f t="shared" ref="H95:N95" si="26">SUM(H96:H99)</f>
        <v>0</v>
      </c>
      <c r="I95" s="2179">
        <f t="shared" si="26"/>
        <v>0</v>
      </c>
      <c r="J95" s="2179">
        <f t="shared" si="26"/>
        <v>0</v>
      </c>
      <c r="K95" s="2179">
        <f t="shared" si="26"/>
        <v>0</v>
      </c>
      <c r="L95" s="2179">
        <f t="shared" si="26"/>
        <v>0</v>
      </c>
      <c r="M95" s="2180">
        <f t="shared" si="26"/>
        <v>0</v>
      </c>
      <c r="N95" s="2179">
        <f t="shared" si="26"/>
        <v>16</v>
      </c>
      <c r="O95" s="2180">
        <f t="shared" si="22"/>
        <v>16</v>
      </c>
    </row>
    <row r="96" spans="1:15" ht="15.75" x14ac:dyDescent="0.25">
      <c r="A96" s="2176"/>
      <c r="B96" s="2176"/>
      <c r="C96" s="2176"/>
      <c r="D96" s="2176" t="s">
        <v>1432</v>
      </c>
      <c r="E96" s="2187">
        <v>0</v>
      </c>
      <c r="F96" s="2188">
        <v>0</v>
      </c>
      <c r="G96" s="2188">
        <f t="shared" si="20"/>
        <v>0</v>
      </c>
      <c r="H96" s="2188">
        <v>0</v>
      </c>
      <c r="I96" s="2189">
        <v>0</v>
      </c>
      <c r="J96" s="2189">
        <v>0</v>
      </c>
      <c r="K96" s="2189">
        <v>0</v>
      </c>
      <c r="L96" s="2189">
        <v>0</v>
      </c>
      <c r="M96" s="2190">
        <v>0</v>
      </c>
      <c r="N96" s="2189">
        <v>0</v>
      </c>
      <c r="O96" s="2190">
        <f t="shared" si="22"/>
        <v>0</v>
      </c>
    </row>
    <row r="97" spans="1:15" ht="15.75" x14ac:dyDescent="0.25">
      <c r="A97" s="2176"/>
      <c r="B97" s="2176"/>
      <c r="C97" s="2176"/>
      <c r="D97" s="2176" t="s">
        <v>1434</v>
      </c>
      <c r="E97" s="2187">
        <v>0</v>
      </c>
      <c r="F97" s="2188">
        <v>0</v>
      </c>
      <c r="G97" s="2188">
        <f t="shared" si="20"/>
        <v>0</v>
      </c>
      <c r="H97" s="2188">
        <v>0</v>
      </c>
      <c r="I97" s="2189">
        <v>0</v>
      </c>
      <c r="J97" s="2189">
        <v>0</v>
      </c>
      <c r="K97" s="2189">
        <v>0</v>
      </c>
      <c r="L97" s="2189">
        <v>0</v>
      </c>
      <c r="M97" s="2190">
        <v>0</v>
      </c>
      <c r="N97" s="2189">
        <v>0</v>
      </c>
      <c r="O97" s="2190">
        <f t="shared" si="22"/>
        <v>0</v>
      </c>
    </row>
    <row r="98" spans="1:15" ht="15.75" x14ac:dyDescent="0.25">
      <c r="A98" s="2176"/>
      <c r="B98" s="2176"/>
      <c r="C98" s="2176"/>
      <c r="D98" s="2176" t="s">
        <v>1436</v>
      </c>
      <c r="E98" s="2187">
        <v>0</v>
      </c>
      <c r="F98" s="2188">
        <v>0</v>
      </c>
      <c r="G98" s="2188">
        <f t="shared" si="20"/>
        <v>0</v>
      </c>
      <c r="H98" s="2188">
        <v>0</v>
      </c>
      <c r="I98" s="2189">
        <v>0</v>
      </c>
      <c r="J98" s="2189">
        <v>0</v>
      </c>
      <c r="K98" s="2189">
        <v>0</v>
      </c>
      <c r="L98" s="2189">
        <v>0</v>
      </c>
      <c r="M98" s="2190">
        <v>0</v>
      </c>
      <c r="N98" s="2189">
        <v>0</v>
      </c>
      <c r="O98" s="2190">
        <f t="shared" si="22"/>
        <v>0</v>
      </c>
    </row>
    <row r="99" spans="1:15" ht="15.75" x14ac:dyDescent="0.25">
      <c r="A99" s="2176"/>
      <c r="B99" s="2176"/>
      <c r="C99" s="2176"/>
      <c r="D99" s="2176" t="s">
        <v>1438</v>
      </c>
      <c r="E99" s="2187">
        <v>0</v>
      </c>
      <c r="F99" s="2188">
        <v>0</v>
      </c>
      <c r="G99" s="2188">
        <f t="shared" si="20"/>
        <v>0</v>
      </c>
      <c r="H99" s="2188">
        <v>0</v>
      </c>
      <c r="I99" s="2189">
        <v>0</v>
      </c>
      <c r="J99" s="2189">
        <v>0</v>
      </c>
      <c r="K99" s="2189">
        <v>0</v>
      </c>
      <c r="L99" s="2189">
        <v>0</v>
      </c>
      <c r="M99" s="2190">
        <v>0</v>
      </c>
      <c r="N99" s="2189">
        <v>16</v>
      </c>
      <c r="O99" s="2190">
        <f t="shared" si="22"/>
        <v>16</v>
      </c>
    </row>
    <row r="100" spans="1:15" ht="15.75" x14ac:dyDescent="0.25">
      <c r="A100" s="2176"/>
      <c r="B100" s="2176" t="s">
        <v>513</v>
      </c>
      <c r="C100" s="2182" t="s">
        <v>1487</v>
      </c>
      <c r="D100" s="2182"/>
      <c r="E100" s="2183">
        <f>SUM(E101:E104)</f>
        <v>0</v>
      </c>
      <c r="F100" s="2184">
        <f>SUM(F101:F104)</f>
        <v>0</v>
      </c>
      <c r="G100" s="2184">
        <f t="shared" si="20"/>
        <v>0</v>
      </c>
      <c r="H100" s="2184">
        <f t="shared" ref="H100:N100" si="27">SUM(H101:H104)</f>
        <v>0</v>
      </c>
      <c r="I100" s="2185">
        <f t="shared" si="27"/>
        <v>0</v>
      </c>
      <c r="J100" s="2185">
        <f t="shared" si="27"/>
        <v>0</v>
      </c>
      <c r="K100" s="2185">
        <f t="shared" si="27"/>
        <v>0</v>
      </c>
      <c r="L100" s="2185">
        <f t="shared" si="27"/>
        <v>0</v>
      </c>
      <c r="M100" s="2186">
        <f t="shared" si="27"/>
        <v>0</v>
      </c>
      <c r="N100" s="2185">
        <f t="shared" si="27"/>
        <v>31</v>
      </c>
      <c r="O100" s="2186">
        <f t="shared" si="22"/>
        <v>31</v>
      </c>
    </row>
    <row r="101" spans="1:15" ht="15.75" x14ac:dyDescent="0.25">
      <c r="A101" s="2176"/>
      <c r="B101" s="2176"/>
      <c r="C101" s="2176"/>
      <c r="D101" s="2176" t="s">
        <v>1432</v>
      </c>
      <c r="E101" s="2187">
        <v>0</v>
      </c>
      <c r="F101" s="2188">
        <v>0</v>
      </c>
      <c r="G101" s="2188">
        <f t="shared" si="20"/>
        <v>0</v>
      </c>
      <c r="H101" s="2188">
        <v>0</v>
      </c>
      <c r="I101" s="2189">
        <v>0</v>
      </c>
      <c r="J101" s="2189">
        <v>0</v>
      </c>
      <c r="K101" s="2189">
        <v>0</v>
      </c>
      <c r="L101" s="2189">
        <v>0</v>
      </c>
      <c r="M101" s="2190">
        <v>0</v>
      </c>
      <c r="N101" s="2189">
        <v>0</v>
      </c>
      <c r="O101" s="2190">
        <f t="shared" si="22"/>
        <v>0</v>
      </c>
    </row>
    <row r="102" spans="1:15" ht="15.75" x14ac:dyDescent="0.25">
      <c r="A102" s="2176"/>
      <c r="B102" s="2176"/>
      <c r="C102" s="2176"/>
      <c r="D102" s="2176" t="s">
        <v>1434</v>
      </c>
      <c r="E102" s="2187">
        <v>0</v>
      </c>
      <c r="F102" s="2188">
        <v>0</v>
      </c>
      <c r="G102" s="2188">
        <f t="shared" si="20"/>
        <v>0</v>
      </c>
      <c r="H102" s="2188">
        <v>0</v>
      </c>
      <c r="I102" s="2189">
        <v>0</v>
      </c>
      <c r="J102" s="2189">
        <v>0</v>
      </c>
      <c r="K102" s="2189">
        <v>0</v>
      </c>
      <c r="L102" s="2189">
        <v>0</v>
      </c>
      <c r="M102" s="2190">
        <v>0</v>
      </c>
      <c r="N102" s="2189">
        <v>0</v>
      </c>
      <c r="O102" s="2190">
        <f t="shared" si="22"/>
        <v>0</v>
      </c>
    </row>
    <row r="103" spans="1:15" ht="15.75" x14ac:dyDescent="0.25">
      <c r="A103" s="2176"/>
      <c r="B103" s="2176"/>
      <c r="C103" s="2176"/>
      <c r="D103" s="2176" t="s">
        <v>1436</v>
      </c>
      <c r="E103" s="2187">
        <v>0</v>
      </c>
      <c r="F103" s="2188">
        <v>0</v>
      </c>
      <c r="G103" s="2188">
        <f t="shared" si="20"/>
        <v>0</v>
      </c>
      <c r="H103" s="2188">
        <v>0</v>
      </c>
      <c r="I103" s="2189">
        <v>0</v>
      </c>
      <c r="J103" s="2189">
        <v>0</v>
      </c>
      <c r="K103" s="2189">
        <v>0</v>
      </c>
      <c r="L103" s="2189">
        <v>0</v>
      </c>
      <c r="M103" s="2190">
        <v>0</v>
      </c>
      <c r="N103" s="2189">
        <v>0</v>
      </c>
      <c r="O103" s="2190">
        <f t="shared" si="22"/>
        <v>0</v>
      </c>
    </row>
    <row r="104" spans="1:15" ht="15.75" x14ac:dyDescent="0.25">
      <c r="A104" s="2176"/>
      <c r="B104" s="2176"/>
      <c r="C104" s="2176"/>
      <c r="D104" s="2176" t="s">
        <v>1438</v>
      </c>
      <c r="E104" s="2187">
        <v>0</v>
      </c>
      <c r="F104" s="2188">
        <v>0</v>
      </c>
      <c r="G104" s="2188">
        <f t="shared" si="20"/>
        <v>0</v>
      </c>
      <c r="H104" s="2188">
        <v>0</v>
      </c>
      <c r="I104" s="2189">
        <v>0</v>
      </c>
      <c r="J104" s="2189">
        <v>0</v>
      </c>
      <c r="K104" s="2189">
        <v>0</v>
      </c>
      <c r="L104" s="2189">
        <v>0</v>
      </c>
      <c r="M104" s="2190">
        <v>0</v>
      </c>
      <c r="N104" s="2189">
        <v>31</v>
      </c>
      <c r="O104" s="2190">
        <f t="shared" si="22"/>
        <v>31</v>
      </c>
    </row>
    <row r="105" spans="1:15" ht="15.75" x14ac:dyDescent="0.25">
      <c r="A105" s="2176" t="s">
        <v>1241</v>
      </c>
      <c r="B105" s="2176" t="s">
        <v>1488</v>
      </c>
      <c r="C105" s="2176"/>
      <c r="D105" s="2176"/>
      <c r="E105" s="2183">
        <f>SUM(E106:E109)</f>
        <v>-6947</v>
      </c>
      <c r="F105" s="2184">
        <v>0</v>
      </c>
      <c r="G105" s="2184">
        <f>SUM(E105:F105)</f>
        <v>-6947</v>
      </c>
      <c r="H105" s="2184">
        <f>SUM(H106:H109)</f>
        <v>478</v>
      </c>
      <c r="I105" s="2184">
        <f t="shared" ref="I105:O105" si="28">SUM(I106:I109)</f>
        <v>0</v>
      </c>
      <c r="J105" s="2184">
        <f t="shared" si="28"/>
        <v>260</v>
      </c>
      <c r="K105" s="2184">
        <f t="shared" si="28"/>
        <v>210</v>
      </c>
      <c r="L105" s="2184">
        <f t="shared" si="28"/>
        <v>-417</v>
      </c>
      <c r="M105" s="2184">
        <f t="shared" si="28"/>
        <v>13</v>
      </c>
      <c r="N105" s="2184">
        <f t="shared" si="28"/>
        <v>15563</v>
      </c>
      <c r="O105" s="2184">
        <f t="shared" si="28"/>
        <v>9160</v>
      </c>
    </row>
    <row r="106" spans="1:15" ht="15.75" x14ac:dyDescent="0.25">
      <c r="A106" s="2176"/>
      <c r="B106" s="2176"/>
      <c r="C106" s="2176"/>
      <c r="D106" s="2176" t="s">
        <v>1432</v>
      </c>
      <c r="E106" s="2187">
        <v>0</v>
      </c>
      <c r="F106" s="2188">
        <v>0</v>
      </c>
      <c r="G106" s="2188">
        <f t="shared" si="20"/>
        <v>0</v>
      </c>
      <c r="H106" s="2188">
        <v>0</v>
      </c>
      <c r="I106" s="2189">
        <v>0</v>
      </c>
      <c r="J106" s="2189">
        <v>0</v>
      </c>
      <c r="K106" s="2189">
        <v>0</v>
      </c>
      <c r="L106" s="2189">
        <v>0</v>
      </c>
      <c r="M106" s="2190">
        <v>0</v>
      </c>
      <c r="N106" s="2189">
        <v>0</v>
      </c>
      <c r="O106" s="2190">
        <f t="shared" si="22"/>
        <v>0</v>
      </c>
    </row>
    <row r="107" spans="1:15" ht="15.75" x14ac:dyDescent="0.25">
      <c r="A107" s="2176"/>
      <c r="B107" s="2176"/>
      <c r="C107" s="2176"/>
      <c r="D107" s="2176" t="s">
        <v>1434</v>
      </c>
      <c r="E107" s="2187">
        <v>0</v>
      </c>
      <c r="F107" s="2188">
        <v>0</v>
      </c>
      <c r="G107" s="2188">
        <f t="shared" si="20"/>
        <v>0</v>
      </c>
      <c r="H107" s="2188">
        <v>0</v>
      </c>
      <c r="I107" s="2189">
        <v>0</v>
      </c>
      <c r="J107" s="2189">
        <v>0</v>
      </c>
      <c r="K107" s="2189">
        <v>0</v>
      </c>
      <c r="L107" s="2189">
        <v>0</v>
      </c>
      <c r="M107" s="2190">
        <v>0</v>
      </c>
      <c r="N107" s="2189">
        <v>0</v>
      </c>
      <c r="O107" s="2190">
        <f t="shared" si="22"/>
        <v>0</v>
      </c>
    </row>
    <row r="108" spans="1:15" ht="15.75" x14ac:dyDescent="0.25">
      <c r="A108" s="2176"/>
      <c r="B108" s="2176"/>
      <c r="C108" s="2176"/>
      <c r="D108" s="2176" t="s">
        <v>1436</v>
      </c>
      <c r="E108" s="2187">
        <v>0</v>
      </c>
      <c r="F108" s="2188">
        <v>0</v>
      </c>
      <c r="G108" s="2188">
        <f t="shared" si="20"/>
        <v>0</v>
      </c>
      <c r="H108" s="2188">
        <v>478</v>
      </c>
      <c r="I108" s="2189">
        <v>0</v>
      </c>
      <c r="J108" s="2189">
        <v>260</v>
      </c>
      <c r="K108" s="2189">
        <v>210</v>
      </c>
      <c r="L108" s="2189">
        <v>0</v>
      </c>
      <c r="M108" s="2190">
        <v>13</v>
      </c>
      <c r="N108" s="2189">
        <v>15563</v>
      </c>
      <c r="O108" s="2190">
        <f t="shared" si="22"/>
        <v>16524</v>
      </c>
    </row>
    <row r="109" spans="1:15" ht="15.75" x14ac:dyDescent="0.25">
      <c r="A109" s="2176"/>
      <c r="B109" s="2176"/>
      <c r="C109" s="2176"/>
      <c r="D109" s="2176" t="s">
        <v>1438</v>
      </c>
      <c r="E109" s="2187">
        <v>-6947</v>
      </c>
      <c r="F109" s="2188">
        <v>0</v>
      </c>
      <c r="G109" s="2188">
        <f t="shared" si="20"/>
        <v>-6947</v>
      </c>
      <c r="H109" s="2188">
        <v>0</v>
      </c>
      <c r="I109" s="2189">
        <v>0</v>
      </c>
      <c r="J109" s="2189">
        <v>0</v>
      </c>
      <c r="K109" s="2189">
        <v>0</v>
      </c>
      <c r="L109" s="2189">
        <v>-417</v>
      </c>
      <c r="M109" s="2190">
        <v>0</v>
      </c>
      <c r="N109" s="2189">
        <v>0</v>
      </c>
      <c r="O109" s="2190">
        <f t="shared" si="22"/>
        <v>-7364</v>
      </c>
    </row>
    <row r="110" spans="1:15" ht="15.75" x14ac:dyDescent="0.25">
      <c r="A110" s="2176" t="s">
        <v>1243</v>
      </c>
      <c r="B110" s="2176" t="s">
        <v>1489</v>
      </c>
      <c r="C110" s="2182"/>
      <c r="D110" s="2182"/>
      <c r="E110" s="2183">
        <f>SUM(E111:E114)</f>
        <v>0</v>
      </c>
      <c r="F110" s="2184">
        <f>SUM(F111:F114)</f>
        <v>0</v>
      </c>
      <c r="G110" s="2184">
        <f t="shared" si="20"/>
        <v>0</v>
      </c>
      <c r="H110" s="2184">
        <f t="shared" ref="H110:N110" si="29">SUM(H111:H114)</f>
        <v>0</v>
      </c>
      <c r="I110" s="2185">
        <f t="shared" si="29"/>
        <v>0</v>
      </c>
      <c r="J110" s="2185">
        <f t="shared" si="29"/>
        <v>0</v>
      </c>
      <c r="K110" s="2185">
        <f t="shared" si="29"/>
        <v>0</v>
      </c>
      <c r="L110" s="2185" t="s">
        <v>1490</v>
      </c>
      <c r="M110" s="2186">
        <f t="shared" ref="M110" si="30">SUM(M111:M114)</f>
        <v>0</v>
      </c>
      <c r="N110" s="2185">
        <f t="shared" si="29"/>
        <v>81</v>
      </c>
      <c r="O110" s="2186">
        <f t="shared" si="22"/>
        <v>81</v>
      </c>
    </row>
    <row r="111" spans="1:15" ht="15.75" x14ac:dyDescent="0.25">
      <c r="A111" s="2176"/>
      <c r="B111" s="2176"/>
      <c r="C111" s="2176"/>
      <c r="D111" s="2176" t="s">
        <v>1432</v>
      </c>
      <c r="E111" s="2187">
        <v>0</v>
      </c>
      <c r="F111" s="2188">
        <v>0</v>
      </c>
      <c r="G111" s="2188">
        <f t="shared" si="20"/>
        <v>0</v>
      </c>
      <c r="H111" s="2188">
        <v>0</v>
      </c>
      <c r="I111" s="2189">
        <v>0</v>
      </c>
      <c r="J111" s="2189">
        <v>0</v>
      </c>
      <c r="K111" s="2189">
        <v>0</v>
      </c>
      <c r="L111" s="2189">
        <v>0</v>
      </c>
      <c r="M111" s="2190">
        <v>0</v>
      </c>
      <c r="N111" s="2189">
        <v>0</v>
      </c>
      <c r="O111" s="2190">
        <f t="shared" si="22"/>
        <v>0</v>
      </c>
    </row>
    <row r="112" spans="1:15" ht="15.75" x14ac:dyDescent="0.25">
      <c r="A112" s="2176"/>
      <c r="B112" s="2176"/>
      <c r="C112" s="2176"/>
      <c r="D112" s="2176" t="s">
        <v>1434</v>
      </c>
      <c r="E112" s="2187">
        <v>0</v>
      </c>
      <c r="F112" s="2188">
        <v>0</v>
      </c>
      <c r="G112" s="2188">
        <f t="shared" si="20"/>
        <v>0</v>
      </c>
      <c r="H112" s="2188">
        <v>0</v>
      </c>
      <c r="I112" s="2189">
        <v>0</v>
      </c>
      <c r="J112" s="2189">
        <v>0</v>
      </c>
      <c r="K112" s="2189">
        <v>0</v>
      </c>
      <c r="L112" s="2189">
        <v>0</v>
      </c>
      <c r="M112" s="2190">
        <v>0</v>
      </c>
      <c r="N112" s="2189">
        <v>0</v>
      </c>
      <c r="O112" s="2190">
        <f t="shared" si="22"/>
        <v>0</v>
      </c>
    </row>
    <row r="113" spans="1:16" ht="15.75" x14ac:dyDescent="0.25">
      <c r="A113" s="2176"/>
      <c r="B113" s="2176"/>
      <c r="C113" s="2176"/>
      <c r="D113" s="2176" t="s">
        <v>1436</v>
      </c>
      <c r="E113" s="2187">
        <v>0</v>
      </c>
      <c r="F113" s="2188">
        <v>0</v>
      </c>
      <c r="G113" s="2188">
        <f t="shared" si="20"/>
        <v>0</v>
      </c>
      <c r="H113" s="2188">
        <v>0</v>
      </c>
      <c r="I113" s="2189">
        <v>0</v>
      </c>
      <c r="J113" s="2189">
        <v>0</v>
      </c>
      <c r="K113" s="2189">
        <v>0</v>
      </c>
      <c r="L113" s="2189">
        <v>0</v>
      </c>
      <c r="M113" s="2190">
        <v>0</v>
      </c>
      <c r="N113" s="2189">
        <v>0</v>
      </c>
      <c r="O113" s="2190">
        <f t="shared" si="22"/>
        <v>0</v>
      </c>
    </row>
    <row r="114" spans="1:16" ht="15.75" x14ac:dyDescent="0.25">
      <c r="A114" s="2176"/>
      <c r="B114" s="2176"/>
      <c r="C114" s="2176"/>
      <c r="D114" s="2176" t="s">
        <v>1438</v>
      </c>
      <c r="E114" s="2187">
        <v>0</v>
      </c>
      <c r="F114" s="2188">
        <v>0</v>
      </c>
      <c r="G114" s="2188">
        <f t="shared" si="20"/>
        <v>0</v>
      </c>
      <c r="H114" s="2188">
        <v>0</v>
      </c>
      <c r="I114" s="2189">
        <v>0</v>
      </c>
      <c r="J114" s="2189">
        <v>0</v>
      </c>
      <c r="K114" s="2189">
        <v>0</v>
      </c>
      <c r="L114" s="2189">
        <v>0</v>
      </c>
      <c r="M114" s="2190">
        <v>0</v>
      </c>
      <c r="N114" s="2189">
        <v>81</v>
      </c>
      <c r="O114" s="2190">
        <f t="shared" si="22"/>
        <v>81</v>
      </c>
    </row>
    <row r="115" spans="1:16" ht="15.75" x14ac:dyDescent="0.25">
      <c r="A115" s="2248" t="s">
        <v>1491</v>
      </c>
      <c r="B115" s="2249"/>
      <c r="C115" s="2249"/>
      <c r="D115" s="2249"/>
      <c r="E115" s="2250">
        <f>SUM(E11,E67,E75,E89,E105,E110)</f>
        <v>17337704</v>
      </c>
      <c r="F115" s="2251">
        <f>SUM(F11,F67,F75,F89,F105,F110)</f>
        <v>0</v>
      </c>
      <c r="G115" s="2251">
        <f>SUM(E115:F115)</f>
        <v>17337704</v>
      </c>
      <c r="H115" s="2251">
        <f t="shared" ref="H115:N115" si="31">SUM(H11,H67,H75,H89,H105,H110)</f>
        <v>24657</v>
      </c>
      <c r="I115" s="2252">
        <f t="shared" si="31"/>
        <v>133</v>
      </c>
      <c r="J115" s="2252">
        <f t="shared" si="31"/>
        <v>513</v>
      </c>
      <c r="K115" s="2252">
        <f t="shared" si="31"/>
        <v>330</v>
      </c>
      <c r="L115" s="2252">
        <f t="shared" si="31"/>
        <v>3560</v>
      </c>
      <c r="M115" s="2252">
        <f t="shared" si="31"/>
        <v>159</v>
      </c>
      <c r="N115" s="2252">
        <f t="shared" si="31"/>
        <v>52412</v>
      </c>
      <c r="O115" s="2252">
        <f t="shared" si="22"/>
        <v>17419468</v>
      </c>
      <c r="P115" s="2195"/>
    </row>
    <row r="116" spans="1:16" ht="15.75" x14ac:dyDescent="0.25">
      <c r="A116" s="2241"/>
      <c r="B116" s="2242"/>
      <c r="C116" s="2242"/>
      <c r="D116" s="2242"/>
      <c r="E116" s="2243"/>
      <c r="F116" s="2244"/>
      <c r="G116" s="2244"/>
      <c r="H116" s="2244"/>
      <c r="I116" s="2245"/>
      <c r="J116" s="2245"/>
      <c r="K116" s="2245"/>
      <c r="L116" s="2245"/>
      <c r="M116" s="2246"/>
      <c r="N116" s="2245"/>
      <c r="O116" s="2246"/>
      <c r="P116" s="2195"/>
    </row>
    <row r="117" spans="1:16" ht="18.75" x14ac:dyDescent="0.3">
      <c r="A117" s="2599" t="str">
        <f>A1</f>
        <v>Pilisvörösvár Város Önkormányzata Képviselő-testületének 7/2018. (IV. 27.) önkormányzati rendelete</v>
      </c>
      <c r="B117" s="2600"/>
      <c r="C117" s="2600"/>
      <c r="D117" s="2600"/>
      <c r="E117" s="2600"/>
      <c r="F117" s="2600"/>
      <c r="G117" s="2600"/>
      <c r="H117" s="2600"/>
      <c r="I117" s="2600"/>
      <c r="J117" s="2600"/>
      <c r="K117" s="2600"/>
      <c r="L117" s="2600"/>
      <c r="M117" s="2600"/>
      <c r="N117" s="2600"/>
      <c r="O117" s="2600"/>
      <c r="P117" s="2195"/>
    </row>
    <row r="118" spans="1:16" ht="18.75" x14ac:dyDescent="0.3">
      <c r="A118" s="2599" t="str">
        <f t="shared" ref="A118:A119" si="32">A2</f>
        <v>az Önkormányzat  2017. évi zárszámadásáról</v>
      </c>
      <c r="B118" s="2600"/>
      <c r="C118" s="2600"/>
      <c r="D118" s="2600"/>
      <c r="E118" s="2600"/>
      <c r="F118" s="2600"/>
      <c r="G118" s="2600"/>
      <c r="H118" s="2600"/>
      <c r="I118" s="2600"/>
      <c r="J118" s="2600"/>
      <c r="K118" s="2600"/>
      <c r="L118" s="2600"/>
      <c r="M118" s="2600"/>
      <c r="N118" s="2600"/>
      <c r="O118" s="2600"/>
      <c r="P118" s="2195"/>
    </row>
    <row r="119" spans="1:16" ht="18.75" x14ac:dyDescent="0.3">
      <c r="A119" s="2599" t="str">
        <f t="shared" si="32"/>
        <v>Pilisvörösvár Város Önkormányzatának vagyonkimutatása</v>
      </c>
      <c r="B119" s="2600"/>
      <c r="C119" s="2600"/>
      <c r="D119" s="2600"/>
      <c r="E119" s="2600"/>
      <c r="F119" s="2600"/>
      <c r="G119" s="2600"/>
      <c r="H119" s="2600"/>
      <c r="I119" s="2600"/>
      <c r="J119" s="2600"/>
      <c r="K119" s="2600"/>
      <c r="L119" s="2600"/>
      <c r="M119" s="2600"/>
      <c r="N119" s="2600"/>
      <c r="O119" s="2600"/>
      <c r="P119" s="2195"/>
    </row>
    <row r="120" spans="1:16" ht="15.75" x14ac:dyDescent="0.25">
      <c r="A120" s="2247"/>
      <c r="B120" s="2242"/>
      <c r="C120" s="2242"/>
      <c r="D120" s="2242"/>
      <c r="E120" s="2243"/>
      <c r="F120" s="2244"/>
      <c r="G120" s="2244"/>
      <c r="H120" s="2244"/>
      <c r="I120" s="2245"/>
      <c r="J120" s="2245"/>
      <c r="K120" s="2245"/>
      <c r="L120" s="2245"/>
      <c r="M120" s="2246"/>
      <c r="N120" s="2245"/>
      <c r="O120" s="2246"/>
      <c r="P120" s="2195"/>
    </row>
    <row r="121" spans="1:16" ht="18.75" x14ac:dyDescent="0.3">
      <c r="A121" s="2241"/>
      <c r="B121" s="2242"/>
      <c r="C121" s="2242"/>
      <c r="D121" s="2242"/>
      <c r="E121" s="2243"/>
      <c r="F121" s="2244"/>
      <c r="G121" s="2244"/>
      <c r="H121" s="2244"/>
      <c r="I121" s="2245"/>
      <c r="J121" s="2245"/>
      <c r="K121" s="2245"/>
      <c r="L121" s="2245"/>
      <c r="M121" s="2246"/>
      <c r="N121" s="2245"/>
      <c r="O121" s="2053" t="s">
        <v>1466</v>
      </c>
      <c r="P121" s="2195"/>
    </row>
    <row r="122" spans="1:16" ht="18.75" x14ac:dyDescent="0.3">
      <c r="A122" s="2196"/>
      <c r="B122" s="2196"/>
      <c r="C122" s="2196"/>
      <c r="D122" s="2196"/>
      <c r="E122" s="2197"/>
      <c r="F122" s="2198"/>
      <c r="G122" s="2198"/>
      <c r="H122" s="2199"/>
      <c r="I122" s="2200"/>
      <c r="J122" s="2200"/>
      <c r="K122" s="2200"/>
      <c r="L122" s="2200"/>
      <c r="M122" s="2200"/>
      <c r="N122" s="2200"/>
      <c r="O122" s="2053" t="s">
        <v>323</v>
      </c>
    </row>
    <row r="123" spans="1:16" ht="15.75" x14ac:dyDescent="0.25">
      <c r="A123" s="2602" t="s">
        <v>1246</v>
      </c>
      <c r="B123" s="2602"/>
      <c r="C123" s="2602"/>
      <c r="D123" s="2602"/>
      <c r="E123" s="2603" t="s">
        <v>1420</v>
      </c>
      <c r="F123" s="2603"/>
      <c r="G123" s="2603"/>
      <c r="H123" s="2603"/>
      <c r="I123" s="2603"/>
      <c r="J123" s="2603"/>
      <c r="K123" s="2603"/>
      <c r="L123" s="2603"/>
      <c r="M123" s="2603"/>
      <c r="N123" s="2603"/>
      <c r="O123" s="2603"/>
    </row>
    <row r="124" spans="1:16" ht="47.25" x14ac:dyDescent="0.25">
      <c r="A124" s="2602"/>
      <c r="B124" s="2602"/>
      <c r="C124" s="2602"/>
      <c r="D124" s="2602"/>
      <c r="E124" s="2172" t="s">
        <v>1421</v>
      </c>
      <c r="F124" s="2173" t="s">
        <v>1422</v>
      </c>
      <c r="G124" s="2173" t="s">
        <v>1421</v>
      </c>
      <c r="H124" s="2173" t="s">
        <v>1423</v>
      </c>
      <c r="I124" s="2174" t="s">
        <v>568</v>
      </c>
      <c r="J124" s="2174" t="s">
        <v>1424</v>
      </c>
      <c r="K124" s="2174" t="s">
        <v>1425</v>
      </c>
      <c r="L124" s="2174" t="s">
        <v>566</v>
      </c>
      <c r="M124" s="2175" t="s">
        <v>910</v>
      </c>
      <c r="N124" s="2174" t="s">
        <v>1426</v>
      </c>
      <c r="O124" s="2175" t="s">
        <v>1427</v>
      </c>
    </row>
    <row r="125" spans="1:16" ht="15.75" x14ac:dyDescent="0.25">
      <c r="A125" s="2176" t="s">
        <v>1248</v>
      </c>
      <c r="B125" s="2595" t="s">
        <v>1249</v>
      </c>
      <c r="C125" s="2596"/>
      <c r="D125" s="2597"/>
      <c r="E125" s="2177">
        <f>SUM(E126:E130)</f>
        <v>17169784</v>
      </c>
      <c r="F125" s="2178"/>
      <c r="G125" s="2178">
        <f t="shared" ref="G125:G150" si="33">SUM(E125:F125)</f>
        <v>17169784</v>
      </c>
      <c r="H125" s="2178">
        <f t="shared" ref="H125:N125" si="34">SUM(H126:H130)</f>
        <v>24647</v>
      </c>
      <c r="I125" s="2178">
        <f t="shared" si="34"/>
        <v>-30</v>
      </c>
      <c r="J125" s="2178">
        <f t="shared" si="34"/>
        <v>-56</v>
      </c>
      <c r="K125" s="2178">
        <f t="shared" si="34"/>
        <v>88</v>
      </c>
      <c r="L125" s="2178">
        <f t="shared" si="34"/>
        <v>3295</v>
      </c>
      <c r="M125" s="2201">
        <f t="shared" si="34"/>
        <v>157</v>
      </c>
      <c r="N125" s="2178">
        <f t="shared" si="34"/>
        <v>33054</v>
      </c>
      <c r="O125" s="2201">
        <f t="shared" ref="O125:O150" si="35">SUM(G125:N125)</f>
        <v>17230939</v>
      </c>
    </row>
    <row r="126" spans="1:16" ht="15.75" x14ac:dyDescent="0.25">
      <c r="A126" s="2176"/>
      <c r="B126" s="2181" t="s">
        <v>482</v>
      </c>
      <c r="C126" s="2202" t="s">
        <v>1250</v>
      </c>
      <c r="D126" s="2203"/>
      <c r="E126" s="2177">
        <v>17518764</v>
      </c>
      <c r="F126" s="2178"/>
      <c r="G126" s="2178">
        <f t="shared" si="33"/>
        <v>17518764</v>
      </c>
      <c r="H126" s="2178">
        <v>2714</v>
      </c>
      <c r="I126" s="2178">
        <f>30596-10934</f>
        <v>19662</v>
      </c>
      <c r="J126" s="2178">
        <v>8544</v>
      </c>
      <c r="K126" s="2178">
        <v>15741</v>
      </c>
      <c r="L126" s="2178">
        <v>17286</v>
      </c>
      <c r="M126" s="2201">
        <v>0</v>
      </c>
      <c r="N126" s="2178">
        <v>102599</v>
      </c>
      <c r="O126" s="2201">
        <f t="shared" si="35"/>
        <v>17685310</v>
      </c>
    </row>
    <row r="127" spans="1:16" ht="15.75" x14ac:dyDescent="0.25">
      <c r="A127" s="2176"/>
      <c r="B127" s="2181" t="s">
        <v>513</v>
      </c>
      <c r="C127" s="2202" t="s">
        <v>1252</v>
      </c>
      <c r="D127" s="2203"/>
      <c r="E127" s="2177">
        <v>220998</v>
      </c>
      <c r="F127" s="2178"/>
      <c r="G127" s="2178">
        <f t="shared" si="33"/>
        <v>220998</v>
      </c>
      <c r="H127" s="2178">
        <v>1561</v>
      </c>
      <c r="I127" s="2178">
        <v>493</v>
      </c>
      <c r="J127" s="2178">
        <v>291</v>
      </c>
      <c r="K127" s="2178">
        <v>250</v>
      </c>
      <c r="L127" s="2178">
        <v>298</v>
      </c>
      <c r="M127" s="2201">
        <v>0</v>
      </c>
      <c r="N127" s="2178">
        <v>2373</v>
      </c>
      <c r="O127" s="2201">
        <f t="shared" si="35"/>
        <v>226264</v>
      </c>
    </row>
    <row r="128" spans="1:16" ht="15.75" x14ac:dyDescent="0.25">
      <c r="A128" s="2176"/>
      <c r="B128" s="2181" t="s">
        <v>36</v>
      </c>
      <c r="C128" s="2202" t="s">
        <v>1253</v>
      </c>
      <c r="D128" s="2203"/>
      <c r="E128" s="2177">
        <v>-726929</v>
      </c>
      <c r="F128" s="2178"/>
      <c r="G128" s="2178">
        <f t="shared" si="33"/>
        <v>-726929</v>
      </c>
      <c r="H128" s="2178">
        <v>11532</v>
      </c>
      <c r="I128" s="2178">
        <v>-22775</v>
      </c>
      <c r="J128" s="2178">
        <v>-9245</v>
      </c>
      <c r="K128" s="2178">
        <v>-15813</v>
      </c>
      <c r="L128" s="2178">
        <v>-14561</v>
      </c>
      <c r="M128" s="2201">
        <v>489</v>
      </c>
      <c r="N128" s="2178">
        <v>-91033</v>
      </c>
      <c r="O128" s="2201">
        <f t="shared" si="35"/>
        <v>-868335</v>
      </c>
    </row>
    <row r="129" spans="1:15" ht="15.75" x14ac:dyDescent="0.25">
      <c r="A129" s="2176"/>
      <c r="B129" s="2181" t="s">
        <v>1254</v>
      </c>
      <c r="C129" s="2202" t="s">
        <v>1255</v>
      </c>
      <c r="D129" s="2203"/>
      <c r="E129" s="2177">
        <v>0</v>
      </c>
      <c r="F129" s="2178"/>
      <c r="G129" s="2178">
        <f t="shared" si="33"/>
        <v>0</v>
      </c>
      <c r="H129" s="2178">
        <v>0</v>
      </c>
      <c r="I129" s="2178">
        <v>0</v>
      </c>
      <c r="J129" s="2178">
        <v>0</v>
      </c>
      <c r="K129" s="2178">
        <v>0</v>
      </c>
      <c r="L129" s="2178">
        <v>0</v>
      </c>
      <c r="M129" s="2201">
        <v>0</v>
      </c>
      <c r="N129" s="2178">
        <v>0</v>
      </c>
      <c r="O129" s="2201">
        <f t="shared" si="35"/>
        <v>0</v>
      </c>
    </row>
    <row r="130" spans="1:15" ht="15.75" x14ac:dyDescent="0.25">
      <c r="A130" s="2176"/>
      <c r="B130" s="2181" t="s">
        <v>1256</v>
      </c>
      <c r="C130" s="2202" t="s">
        <v>1257</v>
      </c>
      <c r="D130" s="2203"/>
      <c r="E130" s="2177">
        <v>156951</v>
      </c>
      <c r="F130" s="2178"/>
      <c r="G130" s="2178">
        <f t="shared" si="33"/>
        <v>156951</v>
      </c>
      <c r="H130" s="2178">
        <v>8840</v>
      </c>
      <c r="I130" s="2178">
        <v>2590</v>
      </c>
      <c r="J130" s="2178">
        <v>354</v>
      </c>
      <c r="K130" s="2178">
        <v>-90</v>
      </c>
      <c r="L130" s="2178">
        <v>272</v>
      </c>
      <c r="M130" s="2201">
        <v>-332</v>
      </c>
      <c r="N130" s="2178">
        <v>19115</v>
      </c>
      <c r="O130" s="2201">
        <f t="shared" si="35"/>
        <v>187700</v>
      </c>
    </row>
    <row r="131" spans="1:15" ht="15.75" x14ac:dyDescent="0.25">
      <c r="A131" s="2176" t="s">
        <v>1258</v>
      </c>
      <c r="B131" s="2176" t="s">
        <v>1259</v>
      </c>
      <c r="C131" s="2204"/>
      <c r="D131" s="2205"/>
      <c r="E131" s="2177">
        <f>SUM(E132,E137,E142)</f>
        <v>147847</v>
      </c>
      <c r="F131" s="2178"/>
      <c r="G131" s="2178">
        <f t="shared" si="33"/>
        <v>147847</v>
      </c>
      <c r="H131" s="2178">
        <f t="shared" ref="H131:N131" si="36">SUM(H132,H137,H142)</f>
        <v>10</v>
      </c>
      <c r="I131" s="2178">
        <f t="shared" si="36"/>
        <v>163</v>
      </c>
      <c r="J131" s="2178">
        <f t="shared" si="36"/>
        <v>569</v>
      </c>
      <c r="K131" s="2178">
        <f t="shared" si="36"/>
        <v>242</v>
      </c>
      <c r="L131" s="2178">
        <f t="shared" si="36"/>
        <v>265</v>
      </c>
      <c r="M131" s="2201">
        <f t="shared" si="36"/>
        <v>2</v>
      </c>
      <c r="N131" s="2178">
        <f t="shared" si="36"/>
        <v>12271</v>
      </c>
      <c r="O131" s="2201">
        <f t="shared" si="35"/>
        <v>161369</v>
      </c>
    </row>
    <row r="132" spans="1:15" ht="15.75" x14ac:dyDescent="0.25">
      <c r="A132" s="2176"/>
      <c r="B132" s="2193" t="s">
        <v>482</v>
      </c>
      <c r="C132" s="2181" t="s">
        <v>1261</v>
      </c>
      <c r="D132" s="2181"/>
      <c r="E132" s="2177">
        <f>SUM(E133:E136)</f>
        <v>1572</v>
      </c>
      <c r="F132" s="2178"/>
      <c r="G132" s="2178">
        <f t="shared" si="33"/>
        <v>1572</v>
      </c>
      <c r="H132" s="2178">
        <f t="shared" ref="H132:N132" si="37">SUM(H133:H136)</f>
        <v>0</v>
      </c>
      <c r="I132" s="2178">
        <f t="shared" si="37"/>
        <v>163</v>
      </c>
      <c r="J132" s="2178">
        <f t="shared" si="37"/>
        <v>569</v>
      </c>
      <c r="K132" s="2178">
        <f t="shared" si="37"/>
        <v>242</v>
      </c>
      <c r="L132" s="2178">
        <f t="shared" si="37"/>
        <v>265</v>
      </c>
      <c r="M132" s="2201">
        <f t="shared" si="37"/>
        <v>2</v>
      </c>
      <c r="N132" s="2178">
        <f t="shared" si="37"/>
        <v>0</v>
      </c>
      <c r="O132" s="2201">
        <f t="shared" si="35"/>
        <v>2813</v>
      </c>
    </row>
    <row r="133" spans="1:15" ht="15.75" x14ac:dyDescent="0.25">
      <c r="A133" s="2176"/>
      <c r="B133" s="2176"/>
      <c r="C133" s="2176"/>
      <c r="D133" s="2176" t="s">
        <v>1432</v>
      </c>
      <c r="E133" s="2187">
        <v>1572</v>
      </c>
      <c r="F133" s="2188"/>
      <c r="G133" s="2188">
        <f t="shared" si="33"/>
        <v>1572</v>
      </c>
      <c r="H133" s="2188">
        <v>0</v>
      </c>
      <c r="I133" s="2188">
        <v>163</v>
      </c>
      <c r="J133" s="2188">
        <v>569</v>
      </c>
      <c r="K133" s="2188">
        <v>242</v>
      </c>
      <c r="L133" s="2188">
        <v>265</v>
      </c>
      <c r="M133" s="2206">
        <v>2</v>
      </c>
      <c r="N133" s="2188">
        <v>0</v>
      </c>
      <c r="O133" s="2206">
        <f t="shared" si="35"/>
        <v>2813</v>
      </c>
    </row>
    <row r="134" spans="1:15" ht="15.75" x14ac:dyDescent="0.25">
      <c r="A134" s="2176"/>
      <c r="B134" s="2176"/>
      <c r="C134" s="2176"/>
      <c r="D134" s="2176" t="s">
        <v>1434</v>
      </c>
      <c r="E134" s="2187">
        <v>0</v>
      </c>
      <c r="F134" s="2188"/>
      <c r="G134" s="2188">
        <f t="shared" si="33"/>
        <v>0</v>
      </c>
      <c r="H134" s="2188">
        <v>0</v>
      </c>
      <c r="I134" s="2188">
        <v>0</v>
      </c>
      <c r="J134" s="2188">
        <v>0</v>
      </c>
      <c r="K134" s="2188">
        <v>0</v>
      </c>
      <c r="L134" s="2188">
        <v>0</v>
      </c>
      <c r="M134" s="2206">
        <v>0</v>
      </c>
      <c r="N134" s="2188">
        <v>0</v>
      </c>
      <c r="O134" s="2206">
        <f t="shared" si="35"/>
        <v>0</v>
      </c>
    </row>
    <row r="135" spans="1:15" ht="15.75" x14ac:dyDescent="0.25">
      <c r="A135" s="2176"/>
      <c r="B135" s="2176"/>
      <c r="C135" s="2176"/>
      <c r="D135" s="2176" t="s">
        <v>1436</v>
      </c>
      <c r="E135" s="2187">
        <v>0</v>
      </c>
      <c r="F135" s="2188"/>
      <c r="G135" s="2188">
        <f t="shared" si="33"/>
        <v>0</v>
      </c>
      <c r="H135" s="2188">
        <v>0</v>
      </c>
      <c r="I135" s="2188">
        <v>0</v>
      </c>
      <c r="J135" s="2188">
        <v>0</v>
      </c>
      <c r="K135" s="2188">
        <v>0</v>
      </c>
      <c r="L135" s="2188">
        <v>0</v>
      </c>
      <c r="M135" s="2206">
        <v>0</v>
      </c>
      <c r="N135" s="2188">
        <v>0</v>
      </c>
      <c r="O135" s="2206">
        <f t="shared" si="35"/>
        <v>0</v>
      </c>
    </row>
    <row r="136" spans="1:15" ht="15.75" x14ac:dyDescent="0.25">
      <c r="A136" s="2176"/>
      <c r="B136" s="2176"/>
      <c r="C136" s="2176"/>
      <c r="D136" s="2176" t="s">
        <v>1438</v>
      </c>
      <c r="E136" s="2187">
        <v>0</v>
      </c>
      <c r="F136" s="2188"/>
      <c r="G136" s="2188">
        <f t="shared" si="33"/>
        <v>0</v>
      </c>
      <c r="H136" s="2188">
        <v>0</v>
      </c>
      <c r="I136" s="2188">
        <v>0</v>
      </c>
      <c r="J136" s="2188">
        <v>0</v>
      </c>
      <c r="K136" s="2188">
        <v>0</v>
      </c>
      <c r="L136" s="2188">
        <v>0</v>
      </c>
      <c r="M136" s="2206">
        <v>0</v>
      </c>
      <c r="N136" s="2188">
        <v>0</v>
      </c>
      <c r="O136" s="2206">
        <f t="shared" si="35"/>
        <v>0</v>
      </c>
    </row>
    <row r="137" spans="1:15" ht="15.75" x14ac:dyDescent="0.25">
      <c r="A137" s="2176"/>
      <c r="B137" s="2193" t="s">
        <v>504</v>
      </c>
      <c r="C137" s="2181" t="s">
        <v>1263</v>
      </c>
      <c r="D137" s="2181"/>
      <c r="E137" s="2177">
        <f>SUM(E138:E141)</f>
        <v>32528</v>
      </c>
      <c r="F137" s="2178"/>
      <c r="G137" s="2178">
        <f t="shared" si="33"/>
        <v>32528</v>
      </c>
      <c r="H137" s="2178">
        <f t="shared" ref="H137:N137" si="38">SUM(H138:H141)</f>
        <v>0</v>
      </c>
      <c r="I137" s="2178">
        <f t="shared" si="38"/>
        <v>0</v>
      </c>
      <c r="J137" s="2178">
        <f t="shared" si="38"/>
        <v>0</v>
      </c>
      <c r="K137" s="2178">
        <f t="shared" si="38"/>
        <v>0</v>
      </c>
      <c r="L137" s="2178">
        <f t="shared" si="38"/>
        <v>0</v>
      </c>
      <c r="M137" s="2201">
        <f t="shared" si="38"/>
        <v>0</v>
      </c>
      <c r="N137" s="2178">
        <f t="shared" si="38"/>
        <v>12271</v>
      </c>
      <c r="O137" s="2201">
        <f t="shared" si="35"/>
        <v>44799</v>
      </c>
    </row>
    <row r="138" spans="1:15" ht="15.75" x14ac:dyDescent="0.25">
      <c r="A138" s="2176"/>
      <c r="B138" s="2176"/>
      <c r="C138" s="2176"/>
      <c r="D138" s="2176" t="s">
        <v>1432</v>
      </c>
      <c r="E138" s="2187">
        <v>32528</v>
      </c>
      <c r="F138" s="2188"/>
      <c r="G138" s="2188">
        <f t="shared" si="33"/>
        <v>32528</v>
      </c>
      <c r="H138" s="2188">
        <v>0</v>
      </c>
      <c r="I138" s="2188">
        <v>0</v>
      </c>
      <c r="J138" s="2188">
        <v>0</v>
      </c>
      <c r="K138" s="2188">
        <v>0</v>
      </c>
      <c r="L138" s="2188">
        <v>0</v>
      </c>
      <c r="M138" s="2206">
        <v>0</v>
      </c>
      <c r="N138" s="2188">
        <v>12271</v>
      </c>
      <c r="O138" s="2206">
        <f t="shared" si="35"/>
        <v>44799</v>
      </c>
    </row>
    <row r="139" spans="1:15" ht="15.75" x14ac:dyDescent="0.25">
      <c r="A139" s="2176"/>
      <c r="B139" s="2176"/>
      <c r="C139" s="2176"/>
      <c r="D139" s="2176" t="s">
        <v>1434</v>
      </c>
      <c r="E139" s="2187">
        <v>0</v>
      </c>
      <c r="F139" s="2188"/>
      <c r="G139" s="2188">
        <f t="shared" si="33"/>
        <v>0</v>
      </c>
      <c r="H139" s="2188">
        <v>0</v>
      </c>
      <c r="I139" s="2188">
        <v>0</v>
      </c>
      <c r="J139" s="2188">
        <v>0</v>
      </c>
      <c r="K139" s="2188">
        <v>0</v>
      </c>
      <c r="L139" s="2188">
        <v>0</v>
      </c>
      <c r="M139" s="2206">
        <v>0</v>
      </c>
      <c r="N139" s="2188">
        <v>0</v>
      </c>
      <c r="O139" s="2206">
        <f t="shared" si="35"/>
        <v>0</v>
      </c>
    </row>
    <row r="140" spans="1:15" ht="15.75" x14ac:dyDescent="0.25">
      <c r="A140" s="2176"/>
      <c r="B140" s="2176"/>
      <c r="C140" s="2176"/>
      <c r="D140" s="2176" t="s">
        <v>1436</v>
      </c>
      <c r="E140" s="2187">
        <v>0</v>
      </c>
      <c r="F140" s="2188"/>
      <c r="G140" s="2188">
        <f t="shared" si="33"/>
        <v>0</v>
      </c>
      <c r="H140" s="2188">
        <v>0</v>
      </c>
      <c r="I140" s="2188">
        <v>0</v>
      </c>
      <c r="J140" s="2188">
        <v>0</v>
      </c>
      <c r="K140" s="2188">
        <v>0</v>
      </c>
      <c r="L140" s="2188">
        <v>0</v>
      </c>
      <c r="M140" s="2206">
        <v>0</v>
      </c>
      <c r="N140" s="2188">
        <v>0</v>
      </c>
      <c r="O140" s="2206">
        <f t="shared" si="35"/>
        <v>0</v>
      </c>
    </row>
    <row r="141" spans="1:15" ht="15.75" x14ac:dyDescent="0.25">
      <c r="A141" s="2176"/>
      <c r="B141" s="2176"/>
      <c r="C141" s="2176"/>
      <c r="D141" s="2176" t="s">
        <v>1438</v>
      </c>
      <c r="E141" s="2187">
        <v>0</v>
      </c>
      <c r="F141" s="2188"/>
      <c r="G141" s="2188">
        <f t="shared" si="33"/>
        <v>0</v>
      </c>
      <c r="H141" s="2188">
        <v>0</v>
      </c>
      <c r="I141" s="2188">
        <v>0</v>
      </c>
      <c r="J141" s="2188">
        <v>0</v>
      </c>
      <c r="K141" s="2188">
        <v>0</v>
      </c>
      <c r="L141" s="2188">
        <v>0</v>
      </c>
      <c r="M141" s="2206">
        <v>0</v>
      </c>
      <c r="N141" s="2188">
        <v>0</v>
      </c>
      <c r="O141" s="2206">
        <f t="shared" si="35"/>
        <v>0</v>
      </c>
    </row>
    <row r="142" spans="1:15" ht="15.75" x14ac:dyDescent="0.25">
      <c r="A142" s="2176"/>
      <c r="B142" s="2176" t="s">
        <v>513</v>
      </c>
      <c r="C142" s="2182" t="s">
        <v>1264</v>
      </c>
      <c r="D142" s="2182"/>
      <c r="E142" s="2183">
        <f>SUM(E143:E146)</f>
        <v>113747</v>
      </c>
      <c r="F142" s="2184"/>
      <c r="G142" s="2184">
        <f t="shared" si="33"/>
        <v>113747</v>
      </c>
      <c r="H142" s="2184">
        <f t="shared" ref="H142:N142" si="39">SUM(H143:H146)</f>
        <v>10</v>
      </c>
      <c r="I142" s="2184">
        <f t="shared" si="39"/>
        <v>0</v>
      </c>
      <c r="J142" s="2184">
        <f t="shared" si="39"/>
        <v>0</v>
      </c>
      <c r="K142" s="2184">
        <f t="shared" si="39"/>
        <v>0</v>
      </c>
      <c r="L142" s="2184">
        <f t="shared" si="39"/>
        <v>0</v>
      </c>
      <c r="M142" s="2207">
        <f t="shared" si="39"/>
        <v>0</v>
      </c>
      <c r="N142" s="2184">
        <f t="shared" si="39"/>
        <v>0</v>
      </c>
      <c r="O142" s="2207">
        <f t="shared" si="35"/>
        <v>113757</v>
      </c>
    </row>
    <row r="143" spans="1:15" ht="15.75" x14ac:dyDescent="0.25">
      <c r="A143" s="2176"/>
      <c r="B143" s="2176"/>
      <c r="C143" s="2176"/>
      <c r="D143" s="2176" t="s">
        <v>1432</v>
      </c>
      <c r="E143" s="2187">
        <v>0</v>
      </c>
      <c r="F143" s="2188"/>
      <c r="G143" s="2188">
        <f t="shared" si="33"/>
        <v>0</v>
      </c>
      <c r="H143" s="2188">
        <v>0</v>
      </c>
      <c r="I143" s="2188">
        <v>0</v>
      </c>
      <c r="J143" s="2188">
        <v>0</v>
      </c>
      <c r="K143" s="2188">
        <v>0</v>
      </c>
      <c r="L143" s="2188">
        <v>0</v>
      </c>
      <c r="M143" s="2206">
        <v>0</v>
      </c>
      <c r="N143" s="2188">
        <v>0</v>
      </c>
      <c r="O143" s="2206">
        <f t="shared" si="35"/>
        <v>0</v>
      </c>
    </row>
    <row r="144" spans="1:15" ht="15.75" x14ac:dyDescent="0.25">
      <c r="A144" s="2176"/>
      <c r="B144" s="2176"/>
      <c r="C144" s="2176"/>
      <c r="D144" s="2176" t="s">
        <v>1434</v>
      </c>
      <c r="E144" s="2187">
        <v>0</v>
      </c>
      <c r="F144" s="2188"/>
      <c r="G144" s="2188">
        <f t="shared" si="33"/>
        <v>0</v>
      </c>
      <c r="H144" s="2188">
        <v>0</v>
      </c>
      <c r="I144" s="2188">
        <v>0</v>
      </c>
      <c r="J144" s="2188">
        <v>0</v>
      </c>
      <c r="K144" s="2188">
        <v>0</v>
      </c>
      <c r="L144" s="2188">
        <v>0</v>
      </c>
      <c r="M144" s="2206">
        <v>0</v>
      </c>
      <c r="N144" s="2188">
        <v>0</v>
      </c>
      <c r="O144" s="2206">
        <f t="shared" si="35"/>
        <v>0</v>
      </c>
    </row>
    <row r="145" spans="1:15" ht="15.75" x14ac:dyDescent="0.25">
      <c r="A145" s="2176"/>
      <c r="B145" s="2176"/>
      <c r="C145" s="2176"/>
      <c r="D145" s="2176" t="s">
        <v>1436</v>
      </c>
      <c r="E145" s="2187">
        <v>113747</v>
      </c>
      <c r="F145" s="2188"/>
      <c r="G145" s="2188">
        <f t="shared" si="33"/>
        <v>113747</v>
      </c>
      <c r="H145" s="2188">
        <v>10</v>
      </c>
      <c r="I145" s="2188">
        <v>0</v>
      </c>
      <c r="J145" s="2188">
        <v>0</v>
      </c>
      <c r="K145" s="2188">
        <v>0</v>
      </c>
      <c r="L145" s="2188">
        <v>0</v>
      </c>
      <c r="M145" s="2206">
        <v>0</v>
      </c>
      <c r="N145" s="2188">
        <v>0</v>
      </c>
      <c r="O145" s="2206">
        <f t="shared" si="35"/>
        <v>113757</v>
      </c>
    </row>
    <row r="146" spans="1:15" ht="15.75" x14ac:dyDescent="0.25">
      <c r="A146" s="2176"/>
      <c r="B146" s="2176"/>
      <c r="C146" s="2176"/>
      <c r="D146" s="2176" t="s">
        <v>1438</v>
      </c>
      <c r="E146" s="2187">
        <v>0</v>
      </c>
      <c r="F146" s="2188"/>
      <c r="G146" s="2188">
        <f t="shared" si="33"/>
        <v>0</v>
      </c>
      <c r="H146" s="2188">
        <v>0</v>
      </c>
      <c r="I146" s="2188">
        <v>0</v>
      </c>
      <c r="J146" s="2188">
        <v>0</v>
      </c>
      <c r="K146" s="2188">
        <v>0</v>
      </c>
      <c r="L146" s="2188">
        <v>0</v>
      </c>
      <c r="M146" s="2206">
        <v>0</v>
      </c>
      <c r="N146" s="2188">
        <v>0</v>
      </c>
      <c r="O146" s="2206">
        <f t="shared" si="35"/>
        <v>0</v>
      </c>
    </row>
    <row r="147" spans="1:15" ht="15.75" x14ac:dyDescent="0.25">
      <c r="A147" s="2176" t="s">
        <v>482</v>
      </c>
      <c r="B147" s="2176" t="s">
        <v>1493</v>
      </c>
      <c r="C147" s="2176"/>
      <c r="D147" s="2176"/>
      <c r="E147" s="2183">
        <v>0</v>
      </c>
      <c r="F147" s="2184"/>
      <c r="G147" s="2184">
        <f t="shared" si="33"/>
        <v>0</v>
      </c>
      <c r="H147" s="2184">
        <v>0</v>
      </c>
      <c r="I147" s="2184">
        <v>0</v>
      </c>
      <c r="J147" s="2184">
        <v>0</v>
      </c>
      <c r="K147" s="2184">
        <v>0</v>
      </c>
      <c r="L147" s="2184">
        <v>0</v>
      </c>
      <c r="M147" s="2207">
        <v>0</v>
      </c>
      <c r="N147" s="2184">
        <v>0</v>
      </c>
      <c r="O147" s="2207">
        <f t="shared" si="35"/>
        <v>0</v>
      </c>
    </row>
    <row r="148" spans="1:15" ht="15.75" x14ac:dyDescent="0.25">
      <c r="A148" s="2176" t="s">
        <v>1266</v>
      </c>
      <c r="B148" s="2176" t="s">
        <v>1494</v>
      </c>
      <c r="C148" s="2176"/>
      <c r="D148" s="2176"/>
      <c r="E148" s="2183">
        <v>0</v>
      </c>
      <c r="F148" s="2184"/>
      <c r="G148" s="2184">
        <f t="shared" si="33"/>
        <v>0</v>
      </c>
      <c r="H148" s="2184">
        <v>0</v>
      </c>
      <c r="I148" s="2184">
        <v>0</v>
      </c>
      <c r="J148" s="2184">
        <v>0</v>
      </c>
      <c r="K148" s="2184">
        <v>0</v>
      </c>
      <c r="L148" s="2184">
        <v>0</v>
      </c>
      <c r="M148" s="2207">
        <v>0</v>
      </c>
      <c r="N148" s="2184">
        <v>0</v>
      </c>
      <c r="O148" s="2207">
        <f t="shared" si="35"/>
        <v>0</v>
      </c>
    </row>
    <row r="149" spans="1:15" ht="15.75" x14ac:dyDescent="0.25">
      <c r="A149" s="2176" t="s">
        <v>1495</v>
      </c>
      <c r="B149" s="2176" t="s">
        <v>1496</v>
      </c>
      <c r="C149" s="2176"/>
      <c r="D149" s="2176"/>
      <c r="E149" s="2183">
        <v>20073</v>
      </c>
      <c r="F149" s="2184"/>
      <c r="G149" s="2184">
        <f t="shared" si="33"/>
        <v>20073</v>
      </c>
      <c r="H149" s="2184">
        <v>0</v>
      </c>
      <c r="I149" s="2184">
        <v>0</v>
      </c>
      <c r="J149" s="2184">
        <v>0</v>
      </c>
      <c r="K149" s="2184">
        <v>0</v>
      </c>
      <c r="L149" s="2184">
        <v>0</v>
      </c>
      <c r="M149" s="2207">
        <v>0</v>
      </c>
      <c r="N149" s="2184">
        <v>7087</v>
      </c>
      <c r="O149" s="2207">
        <f t="shared" si="35"/>
        <v>27160</v>
      </c>
    </row>
    <row r="150" spans="1:15" ht="15.75" x14ac:dyDescent="0.25">
      <c r="A150" s="2248" t="s">
        <v>1497</v>
      </c>
      <c r="B150" s="2249"/>
      <c r="C150" s="2249"/>
      <c r="D150" s="2249"/>
      <c r="E150" s="2250">
        <f>SUM(E125,E131,E147:E149)</f>
        <v>17337704</v>
      </c>
      <c r="F150" s="2251"/>
      <c r="G150" s="2251">
        <f t="shared" si="33"/>
        <v>17337704</v>
      </c>
      <c r="H150" s="2251">
        <f t="shared" ref="H150:N150" si="40">SUM(H125,H131,H147:H149)</f>
        <v>24657</v>
      </c>
      <c r="I150" s="2251">
        <f t="shared" si="40"/>
        <v>133</v>
      </c>
      <c r="J150" s="2251">
        <f t="shared" si="40"/>
        <v>513</v>
      </c>
      <c r="K150" s="2251">
        <f t="shared" si="40"/>
        <v>330</v>
      </c>
      <c r="L150" s="2251">
        <f>SUM(L125,L131,L147:L149)</f>
        <v>3560</v>
      </c>
      <c r="M150" s="2251">
        <f t="shared" si="40"/>
        <v>159</v>
      </c>
      <c r="N150" s="2251">
        <f t="shared" si="40"/>
        <v>52412</v>
      </c>
      <c r="O150" s="2251">
        <f t="shared" si="35"/>
        <v>17419468</v>
      </c>
    </row>
  </sheetData>
  <mergeCells count="16">
    <mergeCell ref="B125:D125"/>
    <mergeCell ref="A1:O1"/>
    <mergeCell ref="A2:O2"/>
    <mergeCell ref="A3:O3"/>
    <mergeCell ref="A117:O117"/>
    <mergeCell ref="A118:O118"/>
    <mergeCell ref="A5:O5"/>
    <mergeCell ref="A6:O6"/>
    <mergeCell ref="A9:D10"/>
    <mergeCell ref="E9:O9"/>
    <mergeCell ref="C12:D12"/>
    <mergeCell ref="A119:O119"/>
    <mergeCell ref="C59:D59"/>
    <mergeCell ref="C68:D68"/>
    <mergeCell ref="A123:D124"/>
    <mergeCell ref="E123:O123"/>
  </mergeCells>
  <printOptions horizontalCentered="1"/>
  <pageMargins left="0.70866141732283472" right="0.70866141732283472" top="0.47244094488188981" bottom="0.27559055118110237" header="0.31496062992125984" footer="0.31496062992125984"/>
  <pageSetup paperSize="9" scale="40" orientation="portrait" r:id="rId1"/>
  <rowBreaks count="1" manualBreakCount="1">
    <brk id="115"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O65"/>
  <sheetViews>
    <sheetView view="pageBreakPreview" zoomScale="70" zoomScaleNormal="100" zoomScaleSheetLayoutView="70" workbookViewId="0">
      <selection activeCell="A2" sqref="A2:O2"/>
    </sheetView>
  </sheetViews>
  <sheetFormatPr defaultRowHeight="15" x14ac:dyDescent="0.25"/>
  <cols>
    <col min="1" max="1" width="4.28515625" style="2164" customWidth="1"/>
    <col min="2" max="2" width="4.5703125" style="2164" customWidth="1"/>
    <col min="3" max="3" width="9.140625" style="2164"/>
    <col min="4" max="4" width="55.5703125" style="2164" customWidth="1"/>
    <col min="5" max="6" width="12.5703125" style="2164" hidden="1" customWidth="1"/>
    <col min="7" max="8" width="12.5703125" style="2164" customWidth="1"/>
    <col min="9" max="13" width="12.5703125" style="2167" customWidth="1"/>
    <col min="14" max="15" width="12.5703125" style="2218" customWidth="1"/>
    <col min="16" max="16384" width="9.140625" style="2211"/>
  </cols>
  <sheetData>
    <row r="1" spans="1:15" ht="18.75" x14ac:dyDescent="0.25">
      <c r="A1" s="2608" t="str">
        <f>'28. mérleg nettó értéken'!A117:O117</f>
        <v>Pilisvörösvár Város Önkormányzata Képviselő-testületének 7/2018. (IV. 27.) önkormányzati rendelete</v>
      </c>
      <c r="B1" s="2608"/>
      <c r="C1" s="2608"/>
      <c r="D1" s="2608"/>
      <c r="E1" s="2608"/>
      <c r="F1" s="2608"/>
      <c r="G1" s="2608"/>
      <c r="H1" s="2608"/>
      <c r="I1" s="2608"/>
      <c r="J1" s="2608"/>
      <c r="K1" s="2608"/>
      <c r="L1" s="2608"/>
      <c r="M1" s="2608"/>
      <c r="N1" s="2608"/>
      <c r="O1" s="2608"/>
    </row>
    <row r="2" spans="1:15" ht="18.75" x14ac:dyDescent="0.25">
      <c r="A2" s="2608" t="str">
        <f>'28. mérleg nettó értéken'!A118:O118</f>
        <v>az Önkormányzat  2017. évi zárszámadásáról</v>
      </c>
      <c r="B2" s="2608"/>
      <c r="C2" s="2608"/>
      <c r="D2" s="2608"/>
      <c r="E2" s="2608"/>
      <c r="F2" s="2608"/>
      <c r="G2" s="2608"/>
      <c r="H2" s="2608"/>
      <c r="I2" s="2608"/>
      <c r="J2" s="2608"/>
      <c r="K2" s="2608"/>
      <c r="L2" s="2608"/>
      <c r="M2" s="2608"/>
      <c r="N2" s="2608"/>
      <c r="O2" s="2608"/>
    </row>
    <row r="3" spans="1:15" ht="18.75" x14ac:dyDescent="0.25">
      <c r="A3" s="2608" t="str">
        <f>'28. mérleg nettó értéken'!A119:O119</f>
        <v>Pilisvörösvár Város Önkormányzatának vagyonkimutatása</v>
      </c>
      <c r="B3" s="2608"/>
      <c r="C3" s="2608"/>
      <c r="D3" s="2608"/>
      <c r="E3" s="2608"/>
      <c r="F3" s="2608"/>
      <c r="G3" s="2608"/>
      <c r="H3" s="2608"/>
      <c r="I3" s="2608"/>
      <c r="J3" s="2608"/>
      <c r="K3" s="2608"/>
      <c r="L3" s="2608"/>
      <c r="M3" s="2608"/>
      <c r="N3" s="2608"/>
      <c r="O3" s="2608"/>
    </row>
    <row r="4" spans="1:15" ht="38.25" customHeight="1" x14ac:dyDescent="0.25">
      <c r="A4" s="2609" t="s">
        <v>1498</v>
      </c>
      <c r="B4" s="2609"/>
      <c r="C4" s="2609"/>
      <c r="D4" s="2609"/>
      <c r="E4" s="2609"/>
      <c r="F4" s="2609"/>
      <c r="G4" s="2609"/>
      <c r="H4" s="2609"/>
      <c r="I4" s="2609"/>
      <c r="J4" s="2609"/>
      <c r="K4" s="2609"/>
      <c r="L4" s="2609"/>
      <c r="M4" s="2609"/>
      <c r="N4" s="2609"/>
      <c r="O4" s="2609"/>
    </row>
    <row r="5" spans="1:15" ht="18.75" x14ac:dyDescent="0.3">
      <c r="A5" s="2254"/>
      <c r="B5" s="2254"/>
      <c r="C5" s="2254"/>
      <c r="D5" s="2254"/>
      <c r="E5" s="2254"/>
      <c r="F5" s="2254"/>
      <c r="G5" s="2254"/>
      <c r="H5" s="2254"/>
      <c r="I5" s="2254"/>
      <c r="J5" s="2254"/>
      <c r="K5" s="2254"/>
      <c r="L5" s="2254"/>
      <c r="M5" s="2254"/>
      <c r="N5" s="2254"/>
      <c r="O5" s="2255" t="s">
        <v>1492</v>
      </c>
    </row>
    <row r="6" spans="1:15" ht="18.75" x14ac:dyDescent="0.3">
      <c r="A6" s="2253"/>
      <c r="B6" s="2253"/>
      <c r="C6" s="2253"/>
      <c r="D6" s="2253"/>
      <c r="E6" s="2253"/>
      <c r="F6" s="2253"/>
      <c r="G6" s="2253"/>
      <c r="H6" s="2253"/>
      <c r="I6" s="2253"/>
      <c r="J6" s="2253"/>
      <c r="K6" s="2253"/>
      <c r="L6" s="2253"/>
      <c r="M6" s="2253"/>
      <c r="N6" s="2253"/>
      <c r="O6" s="2256" t="s">
        <v>323</v>
      </c>
    </row>
    <row r="7" spans="1:15" ht="30" customHeight="1" x14ac:dyDescent="0.25">
      <c r="A7" s="2602" t="s">
        <v>1221</v>
      </c>
      <c r="B7" s="2602"/>
      <c r="C7" s="2602"/>
      <c r="D7" s="2602"/>
      <c r="E7" s="2603" t="s">
        <v>1420</v>
      </c>
      <c r="F7" s="2603"/>
      <c r="G7" s="2603"/>
      <c r="H7" s="2603"/>
      <c r="I7" s="2603"/>
      <c r="J7" s="2603"/>
      <c r="K7" s="2603"/>
      <c r="L7" s="2603"/>
      <c r="M7" s="2603"/>
      <c r="N7" s="2603"/>
      <c r="O7" s="2603"/>
    </row>
    <row r="8" spans="1:15" ht="47.25" x14ac:dyDescent="0.25">
      <c r="A8" s="2602"/>
      <c r="B8" s="2602"/>
      <c r="C8" s="2602"/>
      <c r="D8" s="2602"/>
      <c r="E8" s="2212" t="s">
        <v>1421</v>
      </c>
      <c r="F8" s="2212" t="s">
        <v>1422</v>
      </c>
      <c r="G8" s="2212" t="s">
        <v>1421</v>
      </c>
      <c r="H8" s="2212" t="s">
        <v>1423</v>
      </c>
      <c r="I8" s="2175" t="s">
        <v>568</v>
      </c>
      <c r="J8" s="2175" t="s">
        <v>1424</v>
      </c>
      <c r="K8" s="2175" t="s">
        <v>1425</v>
      </c>
      <c r="L8" s="2175" t="s">
        <v>566</v>
      </c>
      <c r="M8" s="2175" t="s">
        <v>910</v>
      </c>
      <c r="N8" s="2175" t="s">
        <v>1426</v>
      </c>
      <c r="O8" s="2175" t="s">
        <v>1427</v>
      </c>
    </row>
    <row r="9" spans="1:15" ht="19.5" x14ac:dyDescent="0.35">
      <c r="A9" s="2176" t="s">
        <v>1227</v>
      </c>
      <c r="B9" s="2176" t="s">
        <v>1428</v>
      </c>
      <c r="C9" s="2176"/>
      <c r="D9" s="2176"/>
      <c r="E9" s="2201">
        <f>SUM(E10,E22,E40,E57)</f>
        <v>279181</v>
      </c>
      <c r="F9" s="2201">
        <f>SUM(F10,F22,F40,F57)</f>
        <v>0</v>
      </c>
      <c r="G9" s="2261">
        <f>SUM(E9:F9)</f>
        <v>279181</v>
      </c>
      <c r="H9" s="2261">
        <f t="shared" ref="H9:M9" si="0">SUM(H10,H22,H40,H57)</f>
        <v>13323</v>
      </c>
      <c r="I9" s="2257">
        <f t="shared" si="0"/>
        <v>2862</v>
      </c>
      <c r="J9" s="2257">
        <f t="shared" si="0"/>
        <v>8537</v>
      </c>
      <c r="K9" s="2257">
        <f t="shared" si="0"/>
        <v>16629</v>
      </c>
      <c r="L9" s="2262">
        <f t="shared" si="0"/>
        <v>21085</v>
      </c>
      <c r="M9" s="2262">
        <f t="shared" si="0"/>
        <v>2744</v>
      </c>
      <c r="N9" s="2257">
        <f>SUM(N10,N22,N40,N57)</f>
        <v>82829</v>
      </c>
      <c r="O9" s="2257">
        <f>SUM(G9:N9)</f>
        <v>427190</v>
      </c>
    </row>
    <row r="10" spans="1:15" ht="19.5" x14ac:dyDescent="0.35">
      <c r="A10" s="2176"/>
      <c r="B10" s="2181" t="s">
        <v>482</v>
      </c>
      <c r="C10" s="2604" t="s">
        <v>1187</v>
      </c>
      <c r="D10" s="2604"/>
      <c r="E10" s="2201">
        <f>SUM(E11,E16,E21)</f>
        <v>89759</v>
      </c>
      <c r="F10" s="2201">
        <f>SUM(F11,F16,F21)</f>
        <v>0</v>
      </c>
      <c r="G10" s="2261">
        <f>SUM(E10:F10)</f>
        <v>89759</v>
      </c>
      <c r="H10" s="2261">
        <f t="shared" ref="H10:N10" si="1">SUM(H11,H16,H21)</f>
        <v>76</v>
      </c>
      <c r="I10" s="2257">
        <f t="shared" si="1"/>
        <v>292</v>
      </c>
      <c r="J10" s="2257">
        <f t="shared" si="1"/>
        <v>0</v>
      </c>
      <c r="K10" s="2257">
        <f t="shared" si="1"/>
        <v>0</v>
      </c>
      <c r="L10" s="2262">
        <f t="shared" si="1"/>
        <v>690</v>
      </c>
      <c r="M10" s="2262">
        <f t="shared" si="1"/>
        <v>36</v>
      </c>
      <c r="N10" s="2257">
        <f t="shared" si="1"/>
        <v>2448</v>
      </c>
      <c r="O10" s="2257">
        <f t="shared" ref="O10:O64" si="2">SUM(G10:N10)</f>
        <v>93301</v>
      </c>
    </row>
    <row r="11" spans="1:15" ht="18.75" x14ac:dyDescent="0.3">
      <c r="A11" s="2176"/>
      <c r="B11" s="2176"/>
      <c r="C11" s="2182" t="s">
        <v>1429</v>
      </c>
      <c r="D11" s="2182" t="s">
        <v>1430</v>
      </c>
      <c r="E11" s="2207">
        <f>SUM(E12:E15)</f>
        <v>0</v>
      </c>
      <c r="F11" s="2207">
        <f>SUM(F12:F15)</f>
        <v>0</v>
      </c>
      <c r="G11" s="2263">
        <f t="shared" ref="G11:G64" si="3">SUM(E11:F11)</f>
        <v>0</v>
      </c>
      <c r="H11" s="2263">
        <f t="shared" ref="H11:N11" si="4">SUM(H12:H15)</f>
        <v>0</v>
      </c>
      <c r="I11" s="2259">
        <f t="shared" si="4"/>
        <v>0</v>
      </c>
      <c r="J11" s="2259">
        <f t="shared" si="4"/>
        <v>0</v>
      </c>
      <c r="K11" s="2259">
        <f t="shared" si="4"/>
        <v>0</v>
      </c>
      <c r="L11" s="2264">
        <f>SUM(L12:L15)</f>
        <v>0</v>
      </c>
      <c r="M11" s="2264">
        <f>SUM(M12:M15)</f>
        <v>0</v>
      </c>
      <c r="N11" s="2259">
        <f t="shared" si="4"/>
        <v>2329</v>
      </c>
      <c r="O11" s="2259">
        <f t="shared" si="2"/>
        <v>2329</v>
      </c>
    </row>
    <row r="12" spans="1:15" ht="18.75" x14ac:dyDescent="0.3">
      <c r="A12" s="2176"/>
      <c r="B12" s="2176"/>
      <c r="C12" s="2176" t="s">
        <v>1431</v>
      </c>
      <c r="D12" s="2176" t="s">
        <v>1432</v>
      </c>
      <c r="E12" s="2206">
        <v>0</v>
      </c>
      <c r="F12" s="2206">
        <v>0</v>
      </c>
      <c r="G12" s="2265">
        <f>SUM(E12:F12)</f>
        <v>0</v>
      </c>
      <c r="H12" s="2265">
        <v>0</v>
      </c>
      <c r="I12" s="2260">
        <v>0</v>
      </c>
      <c r="J12" s="2260">
        <v>0</v>
      </c>
      <c r="K12" s="2260">
        <v>0</v>
      </c>
      <c r="L12" s="2266">
        <v>0</v>
      </c>
      <c r="M12" s="2266">
        <v>0</v>
      </c>
      <c r="N12" s="2260">
        <v>0</v>
      </c>
      <c r="O12" s="2260">
        <f t="shared" si="2"/>
        <v>0</v>
      </c>
    </row>
    <row r="13" spans="1:15" ht="18.75" x14ac:dyDescent="0.3">
      <c r="A13" s="2176"/>
      <c r="B13" s="2176"/>
      <c r="C13" s="2176" t="s">
        <v>1433</v>
      </c>
      <c r="D13" s="2176" t="s">
        <v>1434</v>
      </c>
      <c r="E13" s="2206">
        <v>0</v>
      </c>
      <c r="F13" s="2206">
        <v>0</v>
      </c>
      <c r="G13" s="2265">
        <f t="shared" si="3"/>
        <v>0</v>
      </c>
      <c r="H13" s="2265">
        <v>0</v>
      </c>
      <c r="I13" s="2260">
        <v>0</v>
      </c>
      <c r="J13" s="2260">
        <v>0</v>
      </c>
      <c r="K13" s="2260">
        <v>0</v>
      </c>
      <c r="L13" s="2266">
        <v>0</v>
      </c>
      <c r="M13" s="2266">
        <v>0</v>
      </c>
      <c r="N13" s="2260">
        <v>0</v>
      </c>
      <c r="O13" s="2260">
        <f t="shared" si="2"/>
        <v>0</v>
      </c>
    </row>
    <row r="14" spans="1:15" ht="18.75" x14ac:dyDescent="0.3">
      <c r="A14" s="2176"/>
      <c r="B14" s="2176"/>
      <c r="C14" s="2176" t="s">
        <v>1435</v>
      </c>
      <c r="D14" s="2176" t="s">
        <v>1436</v>
      </c>
      <c r="E14" s="2206">
        <v>0</v>
      </c>
      <c r="F14" s="2206">
        <v>0</v>
      </c>
      <c r="G14" s="2265">
        <f t="shared" si="3"/>
        <v>0</v>
      </c>
      <c r="H14" s="2265">
        <v>0</v>
      </c>
      <c r="I14" s="2260">
        <v>0</v>
      </c>
      <c r="J14" s="2260">
        <v>0</v>
      </c>
      <c r="K14" s="2260">
        <v>0</v>
      </c>
      <c r="L14" s="2266">
        <v>0</v>
      </c>
      <c r="M14" s="2266">
        <v>0</v>
      </c>
      <c r="N14" s="2260">
        <v>0</v>
      </c>
      <c r="O14" s="2260">
        <f t="shared" si="2"/>
        <v>0</v>
      </c>
    </row>
    <row r="15" spans="1:15" ht="18.75" x14ac:dyDescent="0.3">
      <c r="A15" s="2176"/>
      <c r="B15" s="2176"/>
      <c r="C15" s="2176" t="s">
        <v>1437</v>
      </c>
      <c r="D15" s="2176" t="s">
        <v>1438</v>
      </c>
      <c r="E15" s="2206">
        <v>0</v>
      </c>
      <c r="F15" s="2206">
        <v>0</v>
      </c>
      <c r="G15" s="2265">
        <f t="shared" si="3"/>
        <v>0</v>
      </c>
      <c r="H15" s="2265">
        <v>0</v>
      </c>
      <c r="I15" s="2260">
        <v>0</v>
      </c>
      <c r="J15" s="2260">
        <v>0</v>
      </c>
      <c r="K15" s="2260">
        <v>0</v>
      </c>
      <c r="L15" s="2266">
        <v>0</v>
      </c>
      <c r="M15" s="2266">
        <v>0</v>
      </c>
      <c r="N15" s="2260">
        <v>2329</v>
      </c>
      <c r="O15" s="2260">
        <f t="shared" si="2"/>
        <v>2329</v>
      </c>
    </row>
    <row r="16" spans="1:15" ht="18.75" x14ac:dyDescent="0.3">
      <c r="A16" s="2176"/>
      <c r="B16" s="2176"/>
      <c r="C16" s="2182" t="s">
        <v>1439</v>
      </c>
      <c r="D16" s="2182" t="s">
        <v>1440</v>
      </c>
      <c r="E16" s="2207">
        <f>SUM(E17:E20)</f>
        <v>89759</v>
      </c>
      <c r="F16" s="2207">
        <f>SUM(F17:F20)</f>
        <v>0</v>
      </c>
      <c r="G16" s="2263">
        <f t="shared" si="3"/>
        <v>89759</v>
      </c>
      <c r="H16" s="2263">
        <f t="shared" ref="H16:N16" si="5">SUM(H17:H20)</f>
        <v>76</v>
      </c>
      <c r="I16" s="2259">
        <f t="shared" si="5"/>
        <v>292</v>
      </c>
      <c r="J16" s="2259">
        <f t="shared" si="5"/>
        <v>0</v>
      </c>
      <c r="K16" s="2259">
        <f t="shared" si="5"/>
        <v>0</v>
      </c>
      <c r="L16" s="2264">
        <f t="shared" si="5"/>
        <v>690</v>
      </c>
      <c r="M16" s="2264">
        <f t="shared" si="5"/>
        <v>36</v>
      </c>
      <c r="N16" s="2259">
        <f t="shared" si="5"/>
        <v>119</v>
      </c>
      <c r="O16" s="2259">
        <f t="shared" si="2"/>
        <v>90972</v>
      </c>
    </row>
    <row r="17" spans="1:15" ht="18.75" x14ac:dyDescent="0.3">
      <c r="A17" s="2176"/>
      <c r="B17" s="2176"/>
      <c r="C17" s="2176" t="s">
        <v>1441</v>
      </c>
      <c r="D17" s="2176" t="s">
        <v>1432</v>
      </c>
      <c r="E17" s="2206">
        <v>0</v>
      </c>
      <c r="F17" s="2206">
        <v>0</v>
      </c>
      <c r="G17" s="2265">
        <f t="shared" si="3"/>
        <v>0</v>
      </c>
      <c r="H17" s="2265">
        <v>0</v>
      </c>
      <c r="I17" s="2260">
        <v>0</v>
      </c>
      <c r="J17" s="2260">
        <v>0</v>
      </c>
      <c r="K17" s="2260">
        <v>0</v>
      </c>
      <c r="L17" s="2266">
        <v>0</v>
      </c>
      <c r="M17" s="2266">
        <v>0</v>
      </c>
      <c r="N17" s="2260">
        <v>0</v>
      </c>
      <c r="O17" s="2260">
        <f t="shared" si="2"/>
        <v>0</v>
      </c>
    </row>
    <row r="18" spans="1:15" ht="18.75" x14ac:dyDescent="0.3">
      <c r="A18" s="2176"/>
      <c r="B18" s="2176"/>
      <c r="C18" s="2176" t="s">
        <v>1442</v>
      </c>
      <c r="D18" s="2176" t="s">
        <v>1434</v>
      </c>
      <c r="E18" s="2206">
        <v>0</v>
      </c>
      <c r="F18" s="2206">
        <v>0</v>
      </c>
      <c r="G18" s="2265">
        <f t="shared" si="3"/>
        <v>0</v>
      </c>
      <c r="H18" s="2265">
        <v>0</v>
      </c>
      <c r="I18" s="2260">
        <v>0</v>
      </c>
      <c r="J18" s="2260">
        <v>0</v>
      </c>
      <c r="K18" s="2260">
        <v>0</v>
      </c>
      <c r="L18" s="2266">
        <v>0</v>
      </c>
      <c r="M18" s="2266">
        <v>0</v>
      </c>
      <c r="N18" s="2260">
        <v>0</v>
      </c>
      <c r="O18" s="2260">
        <f t="shared" si="2"/>
        <v>0</v>
      </c>
    </row>
    <row r="19" spans="1:15" ht="18.75" x14ac:dyDescent="0.3">
      <c r="A19" s="2176"/>
      <c r="B19" s="2176"/>
      <c r="C19" s="2176" t="s">
        <v>1443</v>
      </c>
      <c r="D19" s="2176" t="s">
        <v>1436</v>
      </c>
      <c r="E19" s="2206">
        <v>77993</v>
      </c>
      <c r="F19" s="2206">
        <v>0</v>
      </c>
      <c r="G19" s="2265">
        <f t="shared" si="3"/>
        <v>77993</v>
      </c>
      <c r="H19" s="2265">
        <v>0</v>
      </c>
      <c r="I19" s="2260">
        <v>292</v>
      </c>
      <c r="J19" s="2260">
        <v>0</v>
      </c>
      <c r="K19" s="2260">
        <v>0</v>
      </c>
      <c r="L19" s="2266">
        <v>690</v>
      </c>
      <c r="M19" s="2266">
        <v>0</v>
      </c>
      <c r="N19" s="2260">
        <v>0</v>
      </c>
      <c r="O19" s="2260">
        <f t="shared" si="2"/>
        <v>78975</v>
      </c>
    </row>
    <row r="20" spans="1:15" ht="18.75" x14ac:dyDescent="0.3">
      <c r="A20" s="2176"/>
      <c r="B20" s="2176"/>
      <c r="C20" s="2176" t="s">
        <v>1444</v>
      </c>
      <c r="D20" s="2176" t="s">
        <v>1438</v>
      </c>
      <c r="E20" s="2206">
        <v>11766</v>
      </c>
      <c r="F20" s="2206">
        <v>0</v>
      </c>
      <c r="G20" s="2265">
        <f t="shared" si="3"/>
        <v>11766</v>
      </c>
      <c r="H20" s="2265">
        <v>76</v>
      </c>
      <c r="I20" s="2260">
        <v>0</v>
      </c>
      <c r="J20" s="2260">
        <v>0</v>
      </c>
      <c r="K20" s="2260">
        <v>0</v>
      </c>
      <c r="L20" s="2266">
        <v>0</v>
      </c>
      <c r="M20" s="2266">
        <v>36</v>
      </c>
      <c r="N20" s="2260">
        <v>119</v>
      </c>
      <c r="O20" s="2260">
        <f t="shared" si="2"/>
        <v>11997</v>
      </c>
    </row>
    <row r="21" spans="1:15" ht="18.75" x14ac:dyDescent="0.3">
      <c r="A21" s="2176"/>
      <c r="B21" s="2176"/>
      <c r="C21" s="2182" t="s">
        <v>1445</v>
      </c>
      <c r="D21" s="2182" t="s">
        <v>1446</v>
      </c>
      <c r="E21" s="2207">
        <v>0</v>
      </c>
      <c r="F21" s="2207">
        <v>0</v>
      </c>
      <c r="G21" s="2263">
        <f t="shared" si="3"/>
        <v>0</v>
      </c>
      <c r="H21" s="2263">
        <v>0</v>
      </c>
      <c r="I21" s="2259">
        <v>0</v>
      </c>
      <c r="J21" s="2259">
        <v>0</v>
      </c>
      <c r="K21" s="2259">
        <v>0</v>
      </c>
      <c r="L21" s="2264">
        <v>0</v>
      </c>
      <c r="M21" s="2264">
        <v>0</v>
      </c>
      <c r="N21" s="2259">
        <v>0</v>
      </c>
      <c r="O21" s="2259">
        <f t="shared" si="2"/>
        <v>0</v>
      </c>
    </row>
    <row r="22" spans="1:15" ht="19.5" x14ac:dyDescent="0.35">
      <c r="A22" s="2176"/>
      <c r="B22" s="2181" t="s">
        <v>504</v>
      </c>
      <c r="C22" s="2181" t="s">
        <v>1230</v>
      </c>
      <c r="D22" s="2181"/>
      <c r="E22" s="2201">
        <f>SUM(E23,E28,E34,E33,E39)</f>
        <v>189422</v>
      </c>
      <c r="F22" s="2201">
        <f>SUM(F23,F28,F34,F33,F39)</f>
        <v>0</v>
      </c>
      <c r="G22" s="2261">
        <f t="shared" si="3"/>
        <v>189422</v>
      </c>
      <c r="H22" s="2261">
        <f t="shared" ref="H22:N22" si="6">SUM(H23,H28,H34,H33,H39)</f>
        <v>13247</v>
      </c>
      <c r="I22" s="2257">
        <f t="shared" si="6"/>
        <v>2570</v>
      </c>
      <c r="J22" s="2257">
        <f t="shared" si="6"/>
        <v>8537</v>
      </c>
      <c r="K22" s="2257">
        <f t="shared" si="6"/>
        <v>16629</v>
      </c>
      <c r="L22" s="2262">
        <f t="shared" si="6"/>
        <v>20395</v>
      </c>
      <c r="M22" s="2262">
        <f t="shared" si="6"/>
        <v>2708</v>
      </c>
      <c r="N22" s="2257">
        <f t="shared" si="6"/>
        <v>80381</v>
      </c>
      <c r="O22" s="2257">
        <f t="shared" si="2"/>
        <v>333889</v>
      </c>
    </row>
    <row r="23" spans="1:15" ht="18.75" x14ac:dyDescent="0.3">
      <c r="A23" s="2176"/>
      <c r="B23" s="2176"/>
      <c r="C23" s="2182" t="s">
        <v>1429</v>
      </c>
      <c r="D23" s="2182" t="s">
        <v>1188</v>
      </c>
      <c r="E23" s="2207">
        <f>SUM(E24:E27)</f>
        <v>151205</v>
      </c>
      <c r="F23" s="2207">
        <f>SUM(F24:F27)</f>
        <v>0</v>
      </c>
      <c r="G23" s="2263">
        <f t="shared" si="3"/>
        <v>151205</v>
      </c>
      <c r="H23" s="2263">
        <f t="shared" ref="H23:N23" si="7">SUM(H24:H27)</f>
        <v>0</v>
      </c>
      <c r="I23" s="2259">
        <f t="shared" si="7"/>
        <v>0</v>
      </c>
      <c r="J23" s="2259">
        <f t="shared" si="7"/>
        <v>0</v>
      </c>
      <c r="K23" s="2259">
        <f t="shared" si="7"/>
        <v>0</v>
      </c>
      <c r="L23" s="2264">
        <f t="shared" si="7"/>
        <v>0</v>
      </c>
      <c r="M23" s="2264">
        <f t="shared" si="7"/>
        <v>0</v>
      </c>
      <c r="N23" s="2259">
        <f t="shared" si="7"/>
        <v>0</v>
      </c>
      <c r="O23" s="2259">
        <f t="shared" si="2"/>
        <v>151205</v>
      </c>
    </row>
    <row r="24" spans="1:15" ht="18.75" x14ac:dyDescent="0.3">
      <c r="A24" s="2176"/>
      <c r="B24" s="2176"/>
      <c r="C24" s="2176" t="s">
        <v>1431</v>
      </c>
      <c r="D24" s="2176" t="s">
        <v>1432</v>
      </c>
      <c r="E24" s="2206">
        <v>0</v>
      </c>
      <c r="F24" s="2206">
        <v>0</v>
      </c>
      <c r="G24" s="2265">
        <f t="shared" si="3"/>
        <v>0</v>
      </c>
      <c r="H24" s="2265">
        <v>0</v>
      </c>
      <c r="I24" s="2260">
        <v>0</v>
      </c>
      <c r="J24" s="2260">
        <v>0</v>
      </c>
      <c r="K24" s="2260">
        <v>0</v>
      </c>
      <c r="L24" s="2266">
        <v>0</v>
      </c>
      <c r="M24" s="2266">
        <v>0</v>
      </c>
      <c r="N24" s="2260">
        <v>0</v>
      </c>
      <c r="O24" s="2260">
        <f t="shared" si="2"/>
        <v>0</v>
      </c>
    </row>
    <row r="25" spans="1:15" ht="18.75" x14ac:dyDescent="0.3">
      <c r="A25" s="2176"/>
      <c r="B25" s="2176"/>
      <c r="C25" s="2176" t="s">
        <v>1433</v>
      </c>
      <c r="D25" s="2176" t="s">
        <v>1434</v>
      </c>
      <c r="E25" s="2206">
        <v>0</v>
      </c>
      <c r="F25" s="2206">
        <v>0</v>
      </c>
      <c r="G25" s="2265">
        <f t="shared" si="3"/>
        <v>0</v>
      </c>
      <c r="H25" s="2265">
        <v>0</v>
      </c>
      <c r="I25" s="2260">
        <v>0</v>
      </c>
      <c r="J25" s="2260">
        <v>0</v>
      </c>
      <c r="K25" s="2260">
        <v>0</v>
      </c>
      <c r="L25" s="2266">
        <v>0</v>
      </c>
      <c r="M25" s="2266">
        <v>0</v>
      </c>
      <c r="N25" s="2260">
        <v>0</v>
      </c>
      <c r="O25" s="2260">
        <f t="shared" si="2"/>
        <v>0</v>
      </c>
    </row>
    <row r="26" spans="1:15" ht="18.75" x14ac:dyDescent="0.3">
      <c r="A26" s="2176"/>
      <c r="B26" s="2176"/>
      <c r="C26" s="2176" t="s">
        <v>1435</v>
      </c>
      <c r="D26" s="2176" t="s">
        <v>1436</v>
      </c>
      <c r="E26" s="2206">
        <v>151148</v>
      </c>
      <c r="F26" s="2206">
        <v>0</v>
      </c>
      <c r="G26" s="2265">
        <f t="shared" si="3"/>
        <v>151148</v>
      </c>
      <c r="H26" s="2265">
        <v>0</v>
      </c>
      <c r="I26" s="2260">
        <v>0</v>
      </c>
      <c r="J26" s="2260">
        <v>0</v>
      </c>
      <c r="K26" s="2260">
        <v>0</v>
      </c>
      <c r="L26" s="2266">
        <v>0</v>
      </c>
      <c r="M26" s="2266">
        <v>0</v>
      </c>
      <c r="N26" s="2260">
        <v>0</v>
      </c>
      <c r="O26" s="2260">
        <f t="shared" si="2"/>
        <v>151148</v>
      </c>
    </row>
    <row r="27" spans="1:15" ht="18.75" x14ac:dyDescent="0.3">
      <c r="A27" s="2176"/>
      <c r="B27" s="2176"/>
      <c r="C27" s="2176" t="s">
        <v>1437</v>
      </c>
      <c r="D27" s="2176" t="s">
        <v>1438</v>
      </c>
      <c r="E27" s="2206">
        <f>39+18</f>
        <v>57</v>
      </c>
      <c r="F27" s="2206">
        <v>0</v>
      </c>
      <c r="G27" s="2265">
        <f t="shared" si="3"/>
        <v>57</v>
      </c>
      <c r="H27" s="2265">
        <v>0</v>
      </c>
      <c r="I27" s="2260">
        <v>0</v>
      </c>
      <c r="J27" s="2260">
        <v>0</v>
      </c>
      <c r="K27" s="2260">
        <v>0</v>
      </c>
      <c r="L27" s="2266">
        <v>0</v>
      </c>
      <c r="M27" s="2266">
        <v>0</v>
      </c>
      <c r="N27" s="2260">
        <v>0</v>
      </c>
      <c r="O27" s="2260">
        <f t="shared" si="2"/>
        <v>57</v>
      </c>
    </row>
    <row r="28" spans="1:15" ht="18.75" x14ac:dyDescent="0.3">
      <c r="A28" s="2176"/>
      <c r="B28" s="2176"/>
      <c r="C28" s="2182" t="s">
        <v>1439</v>
      </c>
      <c r="D28" s="2182" t="s">
        <v>1447</v>
      </c>
      <c r="E28" s="2207">
        <f>SUM(E29:E32)</f>
        <v>38217</v>
      </c>
      <c r="F28" s="2207">
        <f>SUM(F29:F32)</f>
        <v>0</v>
      </c>
      <c r="G28" s="2263">
        <f>SUM(E28:F28)</f>
        <v>38217</v>
      </c>
      <c r="H28" s="2263">
        <f t="shared" ref="H28:N28" si="8">SUM(H29:H32)</f>
        <v>13247</v>
      </c>
      <c r="I28" s="2259">
        <f t="shared" si="8"/>
        <v>2570</v>
      </c>
      <c r="J28" s="2259">
        <f t="shared" si="8"/>
        <v>8537</v>
      </c>
      <c r="K28" s="2259">
        <f t="shared" si="8"/>
        <v>16629</v>
      </c>
      <c r="L28" s="2264">
        <f t="shared" si="8"/>
        <v>20395</v>
      </c>
      <c r="M28" s="2264">
        <f t="shared" si="8"/>
        <v>2708</v>
      </c>
      <c r="N28" s="2259">
        <f t="shared" si="8"/>
        <v>80381</v>
      </c>
      <c r="O28" s="2259">
        <f t="shared" si="2"/>
        <v>182684</v>
      </c>
    </row>
    <row r="29" spans="1:15" ht="18.75" x14ac:dyDescent="0.3">
      <c r="A29" s="2176"/>
      <c r="B29" s="2176"/>
      <c r="C29" s="2176" t="s">
        <v>1441</v>
      </c>
      <c r="D29" s="2176" t="s">
        <v>1432</v>
      </c>
      <c r="E29" s="2206">
        <v>117</v>
      </c>
      <c r="F29" s="2206">
        <v>0</v>
      </c>
      <c r="G29" s="2265">
        <f t="shared" si="3"/>
        <v>117</v>
      </c>
      <c r="H29" s="2265">
        <v>0</v>
      </c>
      <c r="I29" s="2260">
        <v>0</v>
      </c>
      <c r="J29" s="2260">
        <v>0</v>
      </c>
      <c r="K29" s="2260">
        <v>0</v>
      </c>
      <c r="L29" s="2266">
        <v>0</v>
      </c>
      <c r="M29" s="2266">
        <v>0</v>
      </c>
      <c r="N29" s="2260">
        <v>75216</v>
      </c>
      <c r="O29" s="2260">
        <f t="shared" si="2"/>
        <v>75333</v>
      </c>
    </row>
    <row r="30" spans="1:15" ht="18.75" x14ac:dyDescent="0.3">
      <c r="A30" s="2176"/>
      <c r="B30" s="2176"/>
      <c r="C30" s="2176" t="s">
        <v>1442</v>
      </c>
      <c r="D30" s="2176" t="s">
        <v>1434</v>
      </c>
      <c r="E30" s="2206">
        <v>0</v>
      </c>
      <c r="F30" s="2206">
        <v>0</v>
      </c>
      <c r="G30" s="2265">
        <f t="shared" si="3"/>
        <v>0</v>
      </c>
      <c r="H30" s="2265">
        <v>0</v>
      </c>
      <c r="I30" s="2260">
        <v>0</v>
      </c>
      <c r="J30" s="2260">
        <v>0</v>
      </c>
      <c r="K30" s="2260">
        <v>0</v>
      </c>
      <c r="L30" s="2266">
        <v>0</v>
      </c>
      <c r="M30" s="2266">
        <v>0</v>
      </c>
      <c r="N30" s="2260">
        <v>0</v>
      </c>
      <c r="O30" s="2260">
        <f t="shared" si="2"/>
        <v>0</v>
      </c>
    </row>
    <row r="31" spans="1:15" ht="18.75" x14ac:dyDescent="0.3">
      <c r="A31" s="2176"/>
      <c r="B31" s="2176"/>
      <c r="C31" s="2176" t="s">
        <v>1443</v>
      </c>
      <c r="D31" s="2176" t="s">
        <v>1436</v>
      </c>
      <c r="E31" s="2206">
        <v>3854</v>
      </c>
      <c r="F31" s="2206">
        <v>0</v>
      </c>
      <c r="G31" s="2265">
        <f t="shared" si="3"/>
        <v>3854</v>
      </c>
      <c r="H31" s="2265">
        <v>0</v>
      </c>
      <c r="I31" s="2260">
        <v>862</v>
      </c>
      <c r="J31" s="2260">
        <v>6316</v>
      </c>
      <c r="K31" s="2260">
        <v>14726</v>
      </c>
      <c r="L31" s="2266">
        <v>16036</v>
      </c>
      <c r="M31" s="2266">
        <v>0</v>
      </c>
      <c r="N31" s="2260">
        <v>0</v>
      </c>
      <c r="O31" s="2260">
        <f t="shared" si="2"/>
        <v>41794</v>
      </c>
    </row>
    <row r="32" spans="1:15" ht="18.75" x14ac:dyDescent="0.3">
      <c r="A32" s="2176"/>
      <c r="B32" s="2176"/>
      <c r="C32" s="2176" t="s">
        <v>1444</v>
      </c>
      <c r="D32" s="2176" t="s">
        <v>1438</v>
      </c>
      <c r="E32" s="2206">
        <v>34246</v>
      </c>
      <c r="F32" s="2206">
        <v>0</v>
      </c>
      <c r="G32" s="2265">
        <f t="shared" si="3"/>
        <v>34246</v>
      </c>
      <c r="H32" s="2265">
        <v>13247</v>
      </c>
      <c r="I32" s="2260">
        <v>1708</v>
      </c>
      <c r="J32" s="2260">
        <v>2221</v>
      </c>
      <c r="K32" s="2260">
        <v>1903</v>
      </c>
      <c r="L32" s="2266">
        <v>4359</v>
      </c>
      <c r="M32" s="2266">
        <v>2708</v>
      </c>
      <c r="N32" s="2260">
        <v>5165</v>
      </c>
      <c r="O32" s="2260">
        <f t="shared" si="2"/>
        <v>65557</v>
      </c>
    </row>
    <row r="33" spans="1:15" ht="18.75" x14ac:dyDescent="0.3">
      <c r="A33" s="2176"/>
      <c r="B33" s="2176"/>
      <c r="C33" s="2182" t="s">
        <v>1445</v>
      </c>
      <c r="D33" s="2182" t="s">
        <v>1190</v>
      </c>
      <c r="E33" s="2207">
        <v>0</v>
      </c>
      <c r="F33" s="2207">
        <v>0</v>
      </c>
      <c r="G33" s="2263">
        <f t="shared" si="3"/>
        <v>0</v>
      </c>
      <c r="H33" s="2263">
        <v>0</v>
      </c>
      <c r="I33" s="2259">
        <v>0</v>
      </c>
      <c r="J33" s="2259">
        <v>0</v>
      </c>
      <c r="K33" s="2259">
        <v>0</v>
      </c>
      <c r="L33" s="2264">
        <v>0</v>
      </c>
      <c r="M33" s="2264">
        <v>0</v>
      </c>
      <c r="N33" s="2259">
        <v>0</v>
      </c>
      <c r="O33" s="2259">
        <f t="shared" si="2"/>
        <v>0</v>
      </c>
    </row>
    <row r="34" spans="1:15" ht="18.75" x14ac:dyDescent="0.3">
      <c r="A34" s="2176"/>
      <c r="B34" s="2176"/>
      <c r="C34" s="2182" t="s">
        <v>1448</v>
      </c>
      <c r="D34" s="2182" t="s">
        <v>1449</v>
      </c>
      <c r="E34" s="2207">
        <f>SUM(E35:E38)</f>
        <v>0</v>
      </c>
      <c r="F34" s="2207">
        <f>SUM(F35:F38)</f>
        <v>0</v>
      </c>
      <c r="G34" s="2263">
        <f t="shared" si="3"/>
        <v>0</v>
      </c>
      <c r="H34" s="2263">
        <f t="shared" ref="H34:N34" si="9">SUM(H35:H38)</f>
        <v>0</v>
      </c>
      <c r="I34" s="2259">
        <f t="shared" si="9"/>
        <v>0</v>
      </c>
      <c r="J34" s="2259">
        <f t="shared" si="9"/>
        <v>0</v>
      </c>
      <c r="K34" s="2259">
        <f t="shared" si="9"/>
        <v>0</v>
      </c>
      <c r="L34" s="2264">
        <f t="shared" si="9"/>
        <v>0</v>
      </c>
      <c r="M34" s="2264">
        <f t="shared" si="9"/>
        <v>0</v>
      </c>
      <c r="N34" s="2259">
        <f t="shared" si="9"/>
        <v>0</v>
      </c>
      <c r="O34" s="2259">
        <f t="shared" si="2"/>
        <v>0</v>
      </c>
    </row>
    <row r="35" spans="1:15" ht="18.75" x14ac:dyDescent="0.3">
      <c r="A35" s="2176"/>
      <c r="B35" s="2176"/>
      <c r="C35" s="2176" t="s">
        <v>1450</v>
      </c>
      <c r="D35" s="2176" t="s">
        <v>1432</v>
      </c>
      <c r="E35" s="2206">
        <v>0</v>
      </c>
      <c r="F35" s="2206">
        <v>0</v>
      </c>
      <c r="G35" s="2265">
        <f t="shared" si="3"/>
        <v>0</v>
      </c>
      <c r="H35" s="2265">
        <v>0</v>
      </c>
      <c r="I35" s="2260">
        <v>0</v>
      </c>
      <c r="J35" s="2260">
        <v>0</v>
      </c>
      <c r="K35" s="2260">
        <v>0</v>
      </c>
      <c r="L35" s="2266">
        <v>0</v>
      </c>
      <c r="M35" s="2266">
        <v>0</v>
      </c>
      <c r="N35" s="2260">
        <v>0</v>
      </c>
      <c r="O35" s="2260">
        <f t="shared" si="2"/>
        <v>0</v>
      </c>
    </row>
    <row r="36" spans="1:15" ht="18.75" x14ac:dyDescent="0.3">
      <c r="A36" s="2176"/>
      <c r="B36" s="2176"/>
      <c r="C36" s="2176" t="s">
        <v>1451</v>
      </c>
      <c r="D36" s="2176" t="s">
        <v>1434</v>
      </c>
      <c r="E36" s="2206">
        <v>0</v>
      </c>
      <c r="F36" s="2206">
        <v>0</v>
      </c>
      <c r="G36" s="2265">
        <f t="shared" si="3"/>
        <v>0</v>
      </c>
      <c r="H36" s="2265">
        <v>0</v>
      </c>
      <c r="I36" s="2260">
        <v>0</v>
      </c>
      <c r="J36" s="2260">
        <v>0</v>
      </c>
      <c r="K36" s="2260">
        <v>0</v>
      </c>
      <c r="L36" s="2266">
        <v>0</v>
      </c>
      <c r="M36" s="2266">
        <v>0</v>
      </c>
      <c r="N36" s="2260">
        <v>0</v>
      </c>
      <c r="O36" s="2260">
        <f t="shared" si="2"/>
        <v>0</v>
      </c>
    </row>
    <row r="37" spans="1:15" ht="18.75" x14ac:dyDescent="0.3">
      <c r="A37" s="2176"/>
      <c r="B37" s="2176"/>
      <c r="C37" s="2176" t="s">
        <v>1452</v>
      </c>
      <c r="D37" s="2176" t="s">
        <v>1436</v>
      </c>
      <c r="E37" s="2206">
        <v>0</v>
      </c>
      <c r="F37" s="2206">
        <v>0</v>
      </c>
      <c r="G37" s="2265">
        <f t="shared" si="3"/>
        <v>0</v>
      </c>
      <c r="H37" s="2265">
        <v>0</v>
      </c>
      <c r="I37" s="2260">
        <v>0</v>
      </c>
      <c r="J37" s="2260">
        <v>0</v>
      </c>
      <c r="K37" s="2260">
        <v>0</v>
      </c>
      <c r="L37" s="2266">
        <v>0</v>
      </c>
      <c r="M37" s="2266">
        <v>0</v>
      </c>
      <c r="N37" s="2260">
        <v>0</v>
      </c>
      <c r="O37" s="2260">
        <f t="shared" si="2"/>
        <v>0</v>
      </c>
    </row>
    <row r="38" spans="1:15" ht="18.75" x14ac:dyDescent="0.3">
      <c r="A38" s="2176"/>
      <c r="B38" s="2176"/>
      <c r="C38" s="2176" t="s">
        <v>1453</v>
      </c>
      <c r="D38" s="2176" t="s">
        <v>1438</v>
      </c>
      <c r="E38" s="2206">
        <v>0</v>
      </c>
      <c r="F38" s="2206">
        <v>0</v>
      </c>
      <c r="G38" s="2265">
        <f t="shared" si="3"/>
        <v>0</v>
      </c>
      <c r="H38" s="2265">
        <v>0</v>
      </c>
      <c r="I38" s="2260">
        <v>0</v>
      </c>
      <c r="J38" s="2260">
        <v>0</v>
      </c>
      <c r="K38" s="2260">
        <v>0</v>
      </c>
      <c r="L38" s="2266">
        <v>0</v>
      </c>
      <c r="M38" s="2266">
        <v>0</v>
      </c>
      <c r="N38" s="2260">
        <v>0</v>
      </c>
      <c r="O38" s="2260">
        <f t="shared" si="2"/>
        <v>0</v>
      </c>
    </row>
    <row r="39" spans="1:15" ht="18.75" x14ac:dyDescent="0.3">
      <c r="A39" s="2176"/>
      <c r="B39" s="2176"/>
      <c r="C39" s="2182" t="s">
        <v>1454</v>
      </c>
      <c r="D39" s="2182" t="s">
        <v>1455</v>
      </c>
      <c r="E39" s="2207">
        <v>0</v>
      </c>
      <c r="F39" s="2207">
        <v>0</v>
      </c>
      <c r="G39" s="2263">
        <f t="shared" si="3"/>
        <v>0</v>
      </c>
      <c r="H39" s="2263">
        <v>0</v>
      </c>
      <c r="I39" s="2259">
        <v>0</v>
      </c>
      <c r="J39" s="2259">
        <v>0</v>
      </c>
      <c r="K39" s="2259">
        <v>0</v>
      </c>
      <c r="L39" s="2264">
        <v>0</v>
      </c>
      <c r="M39" s="2264">
        <v>0</v>
      </c>
      <c r="N39" s="2259">
        <v>0</v>
      </c>
      <c r="O39" s="2259">
        <f t="shared" si="2"/>
        <v>0</v>
      </c>
    </row>
    <row r="40" spans="1:15" ht="19.5" x14ac:dyDescent="0.35">
      <c r="A40" s="2176"/>
      <c r="B40" s="2181" t="s">
        <v>513</v>
      </c>
      <c r="C40" s="2181" t="s">
        <v>1456</v>
      </c>
      <c r="D40" s="2181"/>
      <c r="E40" s="2201">
        <f>SUM(E41,E46,E56,E51)</f>
        <v>0</v>
      </c>
      <c r="F40" s="2201">
        <f>SUM(F41,F46,F56,F51)</f>
        <v>0</v>
      </c>
      <c r="G40" s="2261">
        <f t="shared" si="3"/>
        <v>0</v>
      </c>
      <c r="H40" s="2261">
        <f t="shared" ref="H40:N40" si="10">SUM(H41,H46,H56,H51)</f>
        <v>0</v>
      </c>
      <c r="I40" s="2257">
        <f t="shared" si="10"/>
        <v>0</v>
      </c>
      <c r="J40" s="2257">
        <f t="shared" si="10"/>
        <v>0</v>
      </c>
      <c r="K40" s="2257">
        <f t="shared" si="10"/>
        <v>0</v>
      </c>
      <c r="L40" s="2262">
        <f t="shared" si="10"/>
        <v>0</v>
      </c>
      <c r="M40" s="2262">
        <f t="shared" si="10"/>
        <v>0</v>
      </c>
      <c r="N40" s="2257">
        <f t="shared" si="10"/>
        <v>0</v>
      </c>
      <c r="O40" s="2257">
        <f t="shared" si="2"/>
        <v>0</v>
      </c>
    </row>
    <row r="41" spans="1:15" ht="18.75" x14ac:dyDescent="0.3">
      <c r="A41" s="2176"/>
      <c r="B41" s="2176"/>
      <c r="C41" s="2182" t="s">
        <v>1429</v>
      </c>
      <c r="D41" s="2182" t="s">
        <v>1457</v>
      </c>
      <c r="E41" s="2207">
        <f>SUM(E42:E45)</f>
        <v>0</v>
      </c>
      <c r="F41" s="2207">
        <f>SUM(F42:F45)</f>
        <v>0</v>
      </c>
      <c r="G41" s="2263">
        <f t="shared" si="3"/>
        <v>0</v>
      </c>
      <c r="H41" s="2263">
        <f t="shared" ref="H41:N41" si="11">SUM(H42:H45)</f>
        <v>0</v>
      </c>
      <c r="I41" s="2259">
        <f t="shared" si="11"/>
        <v>0</v>
      </c>
      <c r="J41" s="2259">
        <f t="shared" si="11"/>
        <v>0</v>
      </c>
      <c r="K41" s="2259">
        <f t="shared" si="11"/>
        <v>0</v>
      </c>
      <c r="L41" s="2264">
        <f t="shared" si="11"/>
        <v>0</v>
      </c>
      <c r="M41" s="2264">
        <f t="shared" si="11"/>
        <v>0</v>
      </c>
      <c r="N41" s="2259">
        <f t="shared" si="11"/>
        <v>0</v>
      </c>
      <c r="O41" s="2259">
        <f t="shared" si="2"/>
        <v>0</v>
      </c>
    </row>
    <row r="42" spans="1:15" ht="18.75" x14ac:dyDescent="0.3">
      <c r="A42" s="2176"/>
      <c r="B42" s="2176"/>
      <c r="C42" s="2176" t="s">
        <v>1431</v>
      </c>
      <c r="D42" s="2176" t="s">
        <v>1432</v>
      </c>
      <c r="E42" s="2206">
        <v>0</v>
      </c>
      <c r="F42" s="2206">
        <v>0</v>
      </c>
      <c r="G42" s="2265">
        <f t="shared" si="3"/>
        <v>0</v>
      </c>
      <c r="H42" s="2265">
        <v>0</v>
      </c>
      <c r="I42" s="2260">
        <v>0</v>
      </c>
      <c r="J42" s="2260">
        <v>0</v>
      </c>
      <c r="K42" s="2260">
        <v>0</v>
      </c>
      <c r="L42" s="2266">
        <v>0</v>
      </c>
      <c r="M42" s="2266">
        <v>0</v>
      </c>
      <c r="N42" s="2260">
        <v>0</v>
      </c>
      <c r="O42" s="2260">
        <f t="shared" si="2"/>
        <v>0</v>
      </c>
    </row>
    <row r="43" spans="1:15" ht="18.75" x14ac:dyDescent="0.3">
      <c r="A43" s="2176"/>
      <c r="B43" s="2176"/>
      <c r="C43" s="2176" t="s">
        <v>1433</v>
      </c>
      <c r="D43" s="2176" t="s">
        <v>1434</v>
      </c>
      <c r="E43" s="2206">
        <v>0</v>
      </c>
      <c r="F43" s="2206">
        <v>0</v>
      </c>
      <c r="G43" s="2265">
        <f t="shared" si="3"/>
        <v>0</v>
      </c>
      <c r="H43" s="2265">
        <v>0</v>
      </c>
      <c r="I43" s="2260">
        <v>0</v>
      </c>
      <c r="J43" s="2260">
        <v>0</v>
      </c>
      <c r="K43" s="2260">
        <v>0</v>
      </c>
      <c r="L43" s="2266">
        <v>0</v>
      </c>
      <c r="M43" s="2266">
        <v>0</v>
      </c>
      <c r="N43" s="2260">
        <v>0</v>
      </c>
      <c r="O43" s="2260">
        <f t="shared" si="2"/>
        <v>0</v>
      </c>
    </row>
    <row r="44" spans="1:15" ht="18.75" x14ac:dyDescent="0.3">
      <c r="A44" s="2176"/>
      <c r="B44" s="2176"/>
      <c r="C44" s="2176" t="s">
        <v>1435</v>
      </c>
      <c r="D44" s="2176" t="s">
        <v>1436</v>
      </c>
      <c r="E44" s="2206">
        <v>0</v>
      </c>
      <c r="F44" s="2206">
        <v>0</v>
      </c>
      <c r="G44" s="2265">
        <f t="shared" si="3"/>
        <v>0</v>
      </c>
      <c r="H44" s="2265">
        <v>0</v>
      </c>
      <c r="I44" s="2260">
        <v>0</v>
      </c>
      <c r="J44" s="2260">
        <v>0</v>
      </c>
      <c r="K44" s="2260">
        <v>0</v>
      </c>
      <c r="L44" s="2266">
        <v>0</v>
      </c>
      <c r="M44" s="2266">
        <v>0</v>
      </c>
      <c r="N44" s="2260">
        <v>0</v>
      </c>
      <c r="O44" s="2260">
        <f t="shared" si="2"/>
        <v>0</v>
      </c>
    </row>
    <row r="45" spans="1:15" ht="18.75" x14ac:dyDescent="0.3">
      <c r="A45" s="2176"/>
      <c r="B45" s="2176"/>
      <c r="C45" s="2176" t="s">
        <v>1437</v>
      </c>
      <c r="D45" s="2176" t="s">
        <v>1438</v>
      </c>
      <c r="E45" s="2206">
        <v>0</v>
      </c>
      <c r="F45" s="2206">
        <v>0</v>
      </c>
      <c r="G45" s="2265">
        <f t="shared" si="3"/>
        <v>0</v>
      </c>
      <c r="H45" s="2265">
        <v>0</v>
      </c>
      <c r="I45" s="2260">
        <v>0</v>
      </c>
      <c r="J45" s="2260">
        <v>0</v>
      </c>
      <c r="K45" s="2260">
        <v>0</v>
      </c>
      <c r="L45" s="2266">
        <v>0</v>
      </c>
      <c r="M45" s="2266">
        <v>0</v>
      </c>
      <c r="N45" s="2260">
        <v>0</v>
      </c>
      <c r="O45" s="2260">
        <f t="shared" si="2"/>
        <v>0</v>
      </c>
    </row>
    <row r="46" spans="1:15" ht="18.75" x14ac:dyDescent="0.3">
      <c r="A46" s="2176"/>
      <c r="B46" s="2176"/>
      <c r="C46" s="2182" t="s">
        <v>1439</v>
      </c>
      <c r="D46" s="2182" t="s">
        <v>1458</v>
      </c>
      <c r="E46" s="2207">
        <v>0</v>
      </c>
      <c r="F46" s="2207">
        <v>0</v>
      </c>
      <c r="G46" s="2263">
        <f t="shared" si="3"/>
        <v>0</v>
      </c>
      <c r="H46" s="2263">
        <v>0</v>
      </c>
      <c r="I46" s="2259">
        <v>0</v>
      </c>
      <c r="J46" s="2259">
        <v>0</v>
      </c>
      <c r="K46" s="2259">
        <v>0</v>
      </c>
      <c r="L46" s="2264">
        <v>0</v>
      </c>
      <c r="M46" s="2264">
        <v>0</v>
      </c>
      <c r="N46" s="2259">
        <v>0</v>
      </c>
      <c r="O46" s="2259">
        <f t="shared" si="2"/>
        <v>0</v>
      </c>
    </row>
    <row r="47" spans="1:15" ht="18.75" x14ac:dyDescent="0.3">
      <c r="A47" s="2176"/>
      <c r="B47" s="2176"/>
      <c r="C47" s="2176" t="s">
        <v>1441</v>
      </c>
      <c r="D47" s="2176" t="s">
        <v>1432</v>
      </c>
      <c r="E47" s="2206">
        <v>0</v>
      </c>
      <c r="F47" s="2206">
        <v>0</v>
      </c>
      <c r="G47" s="2265">
        <f t="shared" si="3"/>
        <v>0</v>
      </c>
      <c r="H47" s="2265">
        <v>0</v>
      </c>
      <c r="I47" s="2260">
        <v>0</v>
      </c>
      <c r="J47" s="2260">
        <v>0</v>
      </c>
      <c r="K47" s="2260">
        <v>0</v>
      </c>
      <c r="L47" s="2266">
        <v>0</v>
      </c>
      <c r="M47" s="2266">
        <v>0</v>
      </c>
      <c r="N47" s="2260">
        <v>0</v>
      </c>
      <c r="O47" s="2260">
        <f t="shared" si="2"/>
        <v>0</v>
      </c>
    </row>
    <row r="48" spans="1:15" ht="18.75" x14ac:dyDescent="0.3">
      <c r="A48" s="2176"/>
      <c r="B48" s="2176"/>
      <c r="C48" s="2176" t="s">
        <v>1442</v>
      </c>
      <c r="D48" s="2176" t="s">
        <v>1434</v>
      </c>
      <c r="E48" s="2206">
        <v>0</v>
      </c>
      <c r="F48" s="2206">
        <v>0</v>
      </c>
      <c r="G48" s="2265">
        <f t="shared" si="3"/>
        <v>0</v>
      </c>
      <c r="H48" s="2265">
        <v>0</v>
      </c>
      <c r="I48" s="2260">
        <v>0</v>
      </c>
      <c r="J48" s="2260">
        <v>0</v>
      </c>
      <c r="K48" s="2260">
        <v>0</v>
      </c>
      <c r="L48" s="2266">
        <v>0</v>
      </c>
      <c r="M48" s="2266">
        <v>0</v>
      </c>
      <c r="N48" s="2260">
        <v>0</v>
      </c>
      <c r="O48" s="2260">
        <f t="shared" si="2"/>
        <v>0</v>
      </c>
    </row>
    <row r="49" spans="1:15" ht="18.75" x14ac:dyDescent="0.3">
      <c r="A49" s="2176"/>
      <c r="B49" s="2176"/>
      <c r="C49" s="2176" t="s">
        <v>1443</v>
      </c>
      <c r="D49" s="2176" t="s">
        <v>1436</v>
      </c>
      <c r="E49" s="2206">
        <v>0</v>
      </c>
      <c r="F49" s="2206">
        <v>0</v>
      </c>
      <c r="G49" s="2265">
        <f t="shared" si="3"/>
        <v>0</v>
      </c>
      <c r="H49" s="2265">
        <v>0</v>
      </c>
      <c r="I49" s="2260">
        <v>0</v>
      </c>
      <c r="J49" s="2260">
        <v>0</v>
      </c>
      <c r="K49" s="2260">
        <v>0</v>
      </c>
      <c r="L49" s="2266">
        <v>0</v>
      </c>
      <c r="M49" s="2266">
        <v>0</v>
      </c>
      <c r="N49" s="2260">
        <v>0</v>
      </c>
      <c r="O49" s="2260">
        <f t="shared" si="2"/>
        <v>0</v>
      </c>
    </row>
    <row r="50" spans="1:15" ht="18.75" x14ac:dyDescent="0.3">
      <c r="A50" s="2176"/>
      <c r="B50" s="2176"/>
      <c r="C50" s="2176" t="s">
        <v>1444</v>
      </c>
      <c r="D50" s="2176" t="s">
        <v>1438</v>
      </c>
      <c r="E50" s="2206">
        <v>0</v>
      </c>
      <c r="F50" s="2206">
        <v>0</v>
      </c>
      <c r="G50" s="2265">
        <f t="shared" si="3"/>
        <v>0</v>
      </c>
      <c r="H50" s="2265">
        <v>0</v>
      </c>
      <c r="I50" s="2260">
        <v>0</v>
      </c>
      <c r="J50" s="2260">
        <v>0</v>
      </c>
      <c r="K50" s="2260">
        <v>0</v>
      </c>
      <c r="L50" s="2266">
        <v>0</v>
      </c>
      <c r="M50" s="2266">
        <v>0</v>
      </c>
      <c r="N50" s="2260">
        <v>0</v>
      </c>
      <c r="O50" s="2260">
        <f t="shared" si="2"/>
        <v>0</v>
      </c>
    </row>
    <row r="51" spans="1:15" ht="18.75" x14ac:dyDescent="0.3">
      <c r="A51" s="2176"/>
      <c r="B51" s="2176"/>
      <c r="C51" s="2182" t="s">
        <v>1445</v>
      </c>
      <c r="D51" s="2182" t="s">
        <v>1459</v>
      </c>
      <c r="E51" s="2207">
        <f>SUM(E52:E55)</f>
        <v>0</v>
      </c>
      <c r="F51" s="2207">
        <f>SUM(F52:F55)</f>
        <v>0</v>
      </c>
      <c r="G51" s="2263">
        <f t="shared" si="3"/>
        <v>0</v>
      </c>
      <c r="H51" s="2263">
        <f t="shared" ref="H51:N51" si="12">SUM(H52:H55)</f>
        <v>0</v>
      </c>
      <c r="I51" s="2259">
        <f t="shared" si="12"/>
        <v>0</v>
      </c>
      <c r="J51" s="2259">
        <f t="shared" si="12"/>
        <v>0</v>
      </c>
      <c r="K51" s="2259">
        <f t="shared" si="12"/>
        <v>0</v>
      </c>
      <c r="L51" s="2264">
        <f t="shared" si="12"/>
        <v>0</v>
      </c>
      <c r="M51" s="2264">
        <f t="shared" si="12"/>
        <v>0</v>
      </c>
      <c r="N51" s="2259">
        <f t="shared" si="12"/>
        <v>0</v>
      </c>
      <c r="O51" s="2259">
        <f t="shared" si="2"/>
        <v>0</v>
      </c>
    </row>
    <row r="52" spans="1:15" ht="18.75" x14ac:dyDescent="0.3">
      <c r="A52" s="2176"/>
      <c r="B52" s="2176"/>
      <c r="C52" s="2176" t="s">
        <v>1441</v>
      </c>
      <c r="D52" s="2176" t="s">
        <v>1432</v>
      </c>
      <c r="E52" s="2206">
        <v>0</v>
      </c>
      <c r="F52" s="2206">
        <v>0</v>
      </c>
      <c r="G52" s="2265">
        <f t="shared" si="3"/>
        <v>0</v>
      </c>
      <c r="H52" s="2265">
        <v>0</v>
      </c>
      <c r="I52" s="2260">
        <v>0</v>
      </c>
      <c r="J52" s="2260">
        <v>0</v>
      </c>
      <c r="K52" s="2260">
        <v>0</v>
      </c>
      <c r="L52" s="2266">
        <v>0</v>
      </c>
      <c r="M52" s="2266">
        <v>0</v>
      </c>
      <c r="N52" s="2260">
        <v>0</v>
      </c>
      <c r="O52" s="2260">
        <f t="shared" si="2"/>
        <v>0</v>
      </c>
    </row>
    <row r="53" spans="1:15" ht="18.75" x14ac:dyDescent="0.3">
      <c r="A53" s="2176"/>
      <c r="B53" s="2176"/>
      <c r="C53" s="2176" t="s">
        <v>1442</v>
      </c>
      <c r="D53" s="2176" t="s">
        <v>1434</v>
      </c>
      <c r="E53" s="2206">
        <v>0</v>
      </c>
      <c r="F53" s="2206">
        <v>0</v>
      </c>
      <c r="G53" s="2265">
        <f t="shared" si="3"/>
        <v>0</v>
      </c>
      <c r="H53" s="2265">
        <v>0</v>
      </c>
      <c r="I53" s="2260">
        <v>0</v>
      </c>
      <c r="J53" s="2260">
        <v>0</v>
      </c>
      <c r="K53" s="2260">
        <v>0</v>
      </c>
      <c r="L53" s="2266">
        <v>0</v>
      </c>
      <c r="M53" s="2266">
        <v>0</v>
      </c>
      <c r="N53" s="2260">
        <v>0</v>
      </c>
      <c r="O53" s="2260">
        <f t="shared" si="2"/>
        <v>0</v>
      </c>
    </row>
    <row r="54" spans="1:15" ht="18.75" x14ac:dyDescent="0.3">
      <c r="A54" s="2176"/>
      <c r="B54" s="2176"/>
      <c r="C54" s="2176" t="s">
        <v>1443</v>
      </c>
      <c r="D54" s="2176" t="s">
        <v>1436</v>
      </c>
      <c r="E54" s="2206">
        <v>0</v>
      </c>
      <c r="F54" s="2206">
        <v>0</v>
      </c>
      <c r="G54" s="2265">
        <f t="shared" si="3"/>
        <v>0</v>
      </c>
      <c r="H54" s="2265">
        <v>0</v>
      </c>
      <c r="I54" s="2260">
        <v>0</v>
      </c>
      <c r="J54" s="2260">
        <v>0</v>
      </c>
      <c r="K54" s="2260">
        <v>0</v>
      </c>
      <c r="L54" s="2266">
        <v>0</v>
      </c>
      <c r="M54" s="2266">
        <v>0</v>
      </c>
      <c r="N54" s="2260">
        <v>0</v>
      </c>
      <c r="O54" s="2260">
        <f t="shared" si="2"/>
        <v>0</v>
      </c>
    </row>
    <row r="55" spans="1:15" ht="18.75" x14ac:dyDescent="0.3">
      <c r="A55" s="2176"/>
      <c r="B55" s="2176"/>
      <c r="C55" s="2176" t="s">
        <v>1444</v>
      </c>
      <c r="D55" s="2176" t="s">
        <v>1438</v>
      </c>
      <c r="E55" s="2206">
        <v>0</v>
      </c>
      <c r="F55" s="2206">
        <v>0</v>
      </c>
      <c r="G55" s="2265">
        <f t="shared" si="3"/>
        <v>0</v>
      </c>
      <c r="H55" s="2265">
        <v>0</v>
      </c>
      <c r="I55" s="2260">
        <v>0</v>
      </c>
      <c r="J55" s="2260">
        <v>0</v>
      </c>
      <c r="K55" s="2260">
        <v>0</v>
      </c>
      <c r="L55" s="2266">
        <v>0</v>
      </c>
      <c r="M55" s="2266">
        <v>0</v>
      </c>
      <c r="N55" s="2260">
        <v>0</v>
      </c>
      <c r="O55" s="2260">
        <f t="shared" si="2"/>
        <v>0</v>
      </c>
    </row>
    <row r="56" spans="1:15" ht="18.75" x14ac:dyDescent="0.3">
      <c r="A56" s="2176"/>
      <c r="B56" s="2176"/>
      <c r="C56" s="2182" t="s">
        <v>1445</v>
      </c>
      <c r="D56" s="2182" t="s">
        <v>1465</v>
      </c>
      <c r="E56" s="2207">
        <v>0</v>
      </c>
      <c r="F56" s="2207">
        <v>0</v>
      </c>
      <c r="G56" s="2263">
        <f t="shared" si="3"/>
        <v>0</v>
      </c>
      <c r="H56" s="2263">
        <v>0</v>
      </c>
      <c r="I56" s="2259">
        <v>0</v>
      </c>
      <c r="J56" s="2259">
        <v>0</v>
      </c>
      <c r="K56" s="2259">
        <v>0</v>
      </c>
      <c r="L56" s="2264">
        <v>0</v>
      </c>
      <c r="M56" s="2264">
        <v>0</v>
      </c>
      <c r="N56" s="2259">
        <v>0</v>
      </c>
      <c r="O56" s="2259">
        <f t="shared" si="2"/>
        <v>0</v>
      </c>
    </row>
    <row r="57" spans="1:15" ht="19.5" x14ac:dyDescent="0.35">
      <c r="A57" s="2176"/>
      <c r="B57" s="2181" t="s">
        <v>36</v>
      </c>
      <c r="C57" s="2605" t="s">
        <v>1467</v>
      </c>
      <c r="D57" s="2605"/>
      <c r="E57" s="2201">
        <f t="shared" ref="E57:F59" si="13">SUM(E58)</f>
        <v>0</v>
      </c>
      <c r="F57" s="2201">
        <f t="shared" si="13"/>
        <v>0</v>
      </c>
      <c r="G57" s="2261">
        <f t="shared" si="3"/>
        <v>0</v>
      </c>
      <c r="H57" s="2261">
        <f t="shared" ref="H57:N59" si="14">SUM(H58)</f>
        <v>0</v>
      </c>
      <c r="I57" s="2257">
        <f t="shared" si="14"/>
        <v>0</v>
      </c>
      <c r="J57" s="2257">
        <f t="shared" si="14"/>
        <v>0</v>
      </c>
      <c r="K57" s="2257">
        <f t="shared" si="14"/>
        <v>0</v>
      </c>
      <c r="L57" s="2262">
        <f t="shared" si="14"/>
        <v>0</v>
      </c>
      <c r="M57" s="2262">
        <f t="shared" si="14"/>
        <v>0</v>
      </c>
      <c r="N57" s="2257">
        <f t="shared" si="14"/>
        <v>0</v>
      </c>
      <c r="O57" s="2257">
        <f t="shared" si="2"/>
        <v>0</v>
      </c>
    </row>
    <row r="58" spans="1:15" ht="18.75" x14ac:dyDescent="0.3">
      <c r="A58" s="2176"/>
      <c r="B58" s="2181"/>
      <c r="C58" s="2192" t="s">
        <v>1431</v>
      </c>
      <c r="D58" s="2192" t="s">
        <v>1468</v>
      </c>
      <c r="E58" s="2207">
        <f t="shared" si="13"/>
        <v>0</v>
      </c>
      <c r="F58" s="2207">
        <f t="shared" si="13"/>
        <v>0</v>
      </c>
      <c r="G58" s="2263">
        <f t="shared" si="3"/>
        <v>0</v>
      </c>
      <c r="H58" s="2263">
        <f t="shared" si="14"/>
        <v>0</v>
      </c>
      <c r="I58" s="2259">
        <f t="shared" si="14"/>
        <v>0</v>
      </c>
      <c r="J58" s="2259">
        <f t="shared" si="14"/>
        <v>0</v>
      </c>
      <c r="K58" s="2259">
        <f t="shared" si="14"/>
        <v>0</v>
      </c>
      <c r="L58" s="2264">
        <f t="shared" si="14"/>
        <v>0</v>
      </c>
      <c r="M58" s="2264">
        <f t="shared" si="14"/>
        <v>0</v>
      </c>
      <c r="N58" s="2259">
        <f t="shared" si="14"/>
        <v>0</v>
      </c>
      <c r="O58" s="2259">
        <f t="shared" si="2"/>
        <v>0</v>
      </c>
    </row>
    <row r="59" spans="1:15" ht="18.75" x14ac:dyDescent="0.3">
      <c r="A59" s="2176"/>
      <c r="B59" s="2176"/>
      <c r="C59" s="2176" t="s">
        <v>1469</v>
      </c>
      <c r="D59" s="2176" t="s">
        <v>1470</v>
      </c>
      <c r="E59" s="2206">
        <f t="shared" si="13"/>
        <v>0</v>
      </c>
      <c r="F59" s="2206">
        <f t="shared" si="13"/>
        <v>0</v>
      </c>
      <c r="G59" s="2265">
        <f t="shared" si="3"/>
        <v>0</v>
      </c>
      <c r="H59" s="2265">
        <f t="shared" si="14"/>
        <v>0</v>
      </c>
      <c r="I59" s="2260">
        <f t="shared" si="14"/>
        <v>0</v>
      </c>
      <c r="J59" s="2260">
        <f t="shared" si="14"/>
        <v>0</v>
      </c>
      <c r="K59" s="2260">
        <f t="shared" si="14"/>
        <v>0</v>
      </c>
      <c r="L59" s="2266">
        <f t="shared" si="14"/>
        <v>0</v>
      </c>
      <c r="M59" s="2266">
        <f t="shared" si="14"/>
        <v>0</v>
      </c>
      <c r="N59" s="2260">
        <f t="shared" si="14"/>
        <v>0</v>
      </c>
      <c r="O59" s="2260">
        <f t="shared" si="2"/>
        <v>0</v>
      </c>
    </row>
    <row r="60" spans="1:15" ht="18.75" x14ac:dyDescent="0.3">
      <c r="A60" s="2176"/>
      <c r="B60" s="2176"/>
      <c r="C60" s="2176" t="s">
        <v>1471</v>
      </c>
      <c r="D60" s="2176" t="s">
        <v>1472</v>
      </c>
      <c r="E60" s="2206">
        <f>SUM(E61:E64)</f>
        <v>0</v>
      </c>
      <c r="F60" s="2206">
        <f>SUM(F61:F64)</f>
        <v>0</v>
      </c>
      <c r="G60" s="2265">
        <f t="shared" si="3"/>
        <v>0</v>
      </c>
      <c r="H60" s="2265">
        <f t="shared" ref="H60:N60" si="15">SUM(H61:H64)</f>
        <v>0</v>
      </c>
      <c r="I60" s="2260">
        <f t="shared" si="15"/>
        <v>0</v>
      </c>
      <c r="J60" s="2260">
        <f t="shared" si="15"/>
        <v>0</v>
      </c>
      <c r="K60" s="2260">
        <f t="shared" si="15"/>
        <v>0</v>
      </c>
      <c r="L60" s="2266">
        <f t="shared" si="15"/>
        <v>0</v>
      </c>
      <c r="M60" s="2266">
        <f t="shared" si="15"/>
        <v>0</v>
      </c>
      <c r="N60" s="2260">
        <f t="shared" si="15"/>
        <v>0</v>
      </c>
      <c r="O60" s="2260">
        <f t="shared" si="2"/>
        <v>0</v>
      </c>
    </row>
    <row r="61" spans="1:15" ht="18.75" x14ac:dyDescent="0.3">
      <c r="A61" s="2176"/>
      <c r="B61" s="2176"/>
      <c r="C61" s="2176" t="s">
        <v>1473</v>
      </c>
      <c r="D61" s="2176" t="s">
        <v>1432</v>
      </c>
      <c r="E61" s="2206">
        <v>0</v>
      </c>
      <c r="F61" s="2206">
        <v>0</v>
      </c>
      <c r="G61" s="2265">
        <f t="shared" si="3"/>
        <v>0</v>
      </c>
      <c r="H61" s="2265">
        <v>0</v>
      </c>
      <c r="I61" s="2260">
        <v>0</v>
      </c>
      <c r="J61" s="2260">
        <v>0</v>
      </c>
      <c r="K61" s="2260">
        <v>0</v>
      </c>
      <c r="L61" s="2266">
        <v>0</v>
      </c>
      <c r="M61" s="2266">
        <v>0</v>
      </c>
      <c r="N61" s="2260">
        <v>0</v>
      </c>
      <c r="O61" s="2260">
        <f t="shared" si="2"/>
        <v>0</v>
      </c>
    </row>
    <row r="62" spans="1:15" ht="18.75" x14ac:dyDescent="0.3">
      <c r="A62" s="2176"/>
      <c r="B62" s="2176"/>
      <c r="C62" s="2176" t="s">
        <v>1474</v>
      </c>
      <c r="D62" s="2176" t="s">
        <v>1434</v>
      </c>
      <c r="E62" s="2206">
        <v>0</v>
      </c>
      <c r="F62" s="2206">
        <v>0</v>
      </c>
      <c r="G62" s="2265">
        <f t="shared" si="3"/>
        <v>0</v>
      </c>
      <c r="H62" s="2265">
        <v>0</v>
      </c>
      <c r="I62" s="2260">
        <v>0</v>
      </c>
      <c r="J62" s="2260">
        <v>0</v>
      </c>
      <c r="K62" s="2260">
        <v>0</v>
      </c>
      <c r="L62" s="2266">
        <v>0</v>
      </c>
      <c r="M62" s="2266">
        <v>0</v>
      </c>
      <c r="N62" s="2260">
        <v>0</v>
      </c>
      <c r="O62" s="2260">
        <f t="shared" si="2"/>
        <v>0</v>
      </c>
    </row>
    <row r="63" spans="1:15" ht="18.75" x14ac:dyDescent="0.3">
      <c r="A63" s="2176"/>
      <c r="B63" s="2176"/>
      <c r="C63" s="2176" t="s">
        <v>1475</v>
      </c>
      <c r="D63" s="2176" t="s">
        <v>1436</v>
      </c>
      <c r="E63" s="2206">
        <v>0</v>
      </c>
      <c r="F63" s="2206">
        <v>0</v>
      </c>
      <c r="G63" s="2265">
        <f t="shared" si="3"/>
        <v>0</v>
      </c>
      <c r="H63" s="2265">
        <v>0</v>
      </c>
      <c r="I63" s="2260">
        <v>0</v>
      </c>
      <c r="J63" s="2260">
        <v>0</v>
      </c>
      <c r="K63" s="2260">
        <v>0</v>
      </c>
      <c r="L63" s="2266">
        <v>0</v>
      </c>
      <c r="M63" s="2266">
        <v>0</v>
      </c>
      <c r="N63" s="2260">
        <v>0</v>
      </c>
      <c r="O63" s="2260">
        <f t="shared" si="2"/>
        <v>0</v>
      </c>
    </row>
    <row r="64" spans="1:15" ht="18.75" x14ac:dyDescent="0.3">
      <c r="A64" s="2213"/>
      <c r="B64" s="2213"/>
      <c r="C64" s="2213" t="s">
        <v>1476</v>
      </c>
      <c r="D64" s="2213" t="s">
        <v>1438</v>
      </c>
      <c r="E64" s="2214">
        <v>0</v>
      </c>
      <c r="F64" s="2214">
        <v>0</v>
      </c>
      <c r="G64" s="2265">
        <f t="shared" si="3"/>
        <v>0</v>
      </c>
      <c r="H64" s="2267">
        <v>0</v>
      </c>
      <c r="I64" s="2268">
        <v>0</v>
      </c>
      <c r="J64" s="2268">
        <v>0</v>
      </c>
      <c r="K64" s="2268">
        <v>0</v>
      </c>
      <c r="L64" s="2269">
        <v>0</v>
      </c>
      <c r="M64" s="2269">
        <v>0</v>
      </c>
      <c r="N64" s="2260">
        <v>0</v>
      </c>
      <c r="O64" s="2260">
        <f t="shared" si="2"/>
        <v>0</v>
      </c>
    </row>
    <row r="65" spans="1:15" s="2217" customFormat="1" ht="18.75" x14ac:dyDescent="0.3">
      <c r="A65" s="2215"/>
      <c r="B65" s="2215"/>
      <c r="C65" s="2215"/>
      <c r="D65" s="2216" t="s">
        <v>144</v>
      </c>
      <c r="E65" s="2207">
        <f>SUM(E9)</f>
        <v>279181</v>
      </c>
      <c r="F65" s="2207">
        <f t="shared" ref="F65:N65" si="16">SUM(F9)</f>
        <v>0</v>
      </c>
      <c r="G65" s="2263">
        <f t="shared" si="16"/>
        <v>279181</v>
      </c>
      <c r="H65" s="2263">
        <f t="shared" si="16"/>
        <v>13323</v>
      </c>
      <c r="I65" s="2258">
        <f t="shared" si="16"/>
        <v>2862</v>
      </c>
      <c r="J65" s="2258">
        <f t="shared" si="16"/>
        <v>8537</v>
      </c>
      <c r="K65" s="2258">
        <f t="shared" si="16"/>
        <v>16629</v>
      </c>
      <c r="L65" s="2270">
        <f t="shared" si="16"/>
        <v>21085</v>
      </c>
      <c r="M65" s="2270">
        <f t="shared" si="16"/>
        <v>2744</v>
      </c>
      <c r="N65" s="2259">
        <f t="shared" si="16"/>
        <v>82829</v>
      </c>
      <c r="O65" s="2259">
        <f>SUM(O9)</f>
        <v>427190</v>
      </c>
    </row>
  </sheetData>
  <mergeCells count="8">
    <mergeCell ref="C10:D10"/>
    <mergeCell ref="C57:D57"/>
    <mergeCell ref="A1:O1"/>
    <mergeCell ref="A2:O2"/>
    <mergeCell ref="A3:O3"/>
    <mergeCell ref="A4:O4"/>
    <mergeCell ref="A7:D8"/>
    <mergeCell ref="E7:O7"/>
  </mergeCells>
  <printOptions horizontalCentered="1"/>
  <pageMargins left="0.70866141732283472" right="0.70866141732283472" top="0.78740157480314965" bottom="0.78740157480314965" header="0.31496062992125984" footer="0.31496062992125984"/>
  <pageSetup paperSize="9" scale="5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20"/>
  <sheetViews>
    <sheetView view="pageBreakPreview" zoomScale="90" zoomScaleNormal="100" zoomScaleSheetLayoutView="90" workbookViewId="0">
      <selection activeCell="A2" sqref="A2:O2"/>
    </sheetView>
  </sheetViews>
  <sheetFormatPr defaultRowHeight="15" x14ac:dyDescent="0.25"/>
  <cols>
    <col min="1" max="1" width="63.28515625" style="2164" customWidth="1"/>
    <col min="2" max="2" width="36.28515625" style="2234" customWidth="1"/>
    <col min="3" max="3" width="28" style="2164" customWidth="1"/>
    <col min="4" max="16384" width="9.140625" style="2164"/>
  </cols>
  <sheetData>
    <row r="1" spans="1:3" ht="16.5" x14ac:dyDescent="0.25">
      <c r="A1" s="2612" t="str">
        <f>'28. 0-ig leírtak'!A1:O1</f>
        <v>Pilisvörösvár Város Önkormányzata Képviselő-testületének 7/2018. (IV. 27.) önkormányzati rendelete</v>
      </c>
      <c r="B1" s="2612"/>
      <c r="C1" s="2612"/>
    </row>
    <row r="2" spans="1:3" ht="16.5" x14ac:dyDescent="0.25">
      <c r="A2" s="2612" t="str">
        <f>'28. 0-ig leírtak'!A2:O2</f>
        <v>az Önkormányzat  2017. évi zárszámadásáról</v>
      </c>
      <c r="B2" s="2612"/>
      <c r="C2" s="2612"/>
    </row>
    <row r="3" spans="1:3" ht="16.5" x14ac:dyDescent="0.25">
      <c r="A3" s="2612" t="str">
        <f>'28. 0-ig leírtak'!A3:O3</f>
        <v>Pilisvörösvár Város Önkormányzatának vagyonkimutatása</v>
      </c>
      <c r="B3" s="2612"/>
      <c r="C3" s="2612"/>
    </row>
    <row r="5" spans="1:3" ht="17.25" customHeight="1" x14ac:dyDescent="0.25">
      <c r="A5" s="2610" t="s">
        <v>1507</v>
      </c>
      <c r="B5" s="2610"/>
      <c r="C5" s="2610"/>
    </row>
    <row r="6" spans="1:3" x14ac:dyDescent="0.25">
      <c r="A6" s="2219"/>
      <c r="B6" s="2220"/>
    </row>
    <row r="7" spans="1:3" ht="18.75" x14ac:dyDescent="0.3">
      <c r="A7" s="2221"/>
      <c r="B7" s="2222"/>
      <c r="C7" s="2255" t="s">
        <v>1499</v>
      </c>
    </row>
    <row r="8" spans="1:3" ht="18.75" x14ac:dyDescent="0.3">
      <c r="A8" s="2611" t="s">
        <v>1140</v>
      </c>
      <c r="B8" s="2611"/>
      <c r="C8" s="2255"/>
    </row>
    <row r="9" spans="1:3" ht="15.75" x14ac:dyDescent="0.25">
      <c r="A9" s="2223"/>
      <c r="B9" s="2224"/>
      <c r="C9" s="2211"/>
    </row>
    <row r="10" spans="1:3" ht="16.5" thickBot="1" x14ac:dyDescent="0.3">
      <c r="A10" s="2225"/>
      <c r="B10" s="2226" t="s">
        <v>1542</v>
      </c>
    </row>
    <row r="11" spans="1:3" ht="15.75" x14ac:dyDescent="0.25">
      <c r="A11" s="2227" t="s">
        <v>359</v>
      </c>
      <c r="B11" s="2228" t="s">
        <v>1500</v>
      </c>
    </row>
    <row r="12" spans="1:3" ht="15.75" x14ac:dyDescent="0.25">
      <c r="A12" s="2229" t="s">
        <v>1501</v>
      </c>
      <c r="B12" s="2230">
        <f>199957</f>
        <v>199957</v>
      </c>
    </row>
    <row r="13" spans="1:3" ht="15.75" x14ac:dyDescent="0.25">
      <c r="A13" s="2229" t="s">
        <v>1502</v>
      </c>
      <c r="B13" s="2231">
        <f>99979</f>
        <v>99979</v>
      </c>
    </row>
    <row r="14" spans="1:3" ht="15.75" x14ac:dyDescent="0.25">
      <c r="A14" s="2229" t="s">
        <v>1503</v>
      </c>
      <c r="B14" s="2231">
        <f>152264</f>
        <v>152264</v>
      </c>
    </row>
    <row r="15" spans="1:3" ht="15.75" x14ac:dyDescent="0.25">
      <c r="A15" s="2232" t="s">
        <v>1504</v>
      </c>
      <c r="B15" s="2233">
        <v>810917</v>
      </c>
      <c r="C15" s="2234"/>
    </row>
    <row r="16" spans="1:3" ht="15.75" x14ac:dyDescent="0.25">
      <c r="A16" s="2232" t="s">
        <v>1505</v>
      </c>
      <c r="B16" s="2233">
        <f>837446+358424</f>
        <v>1195870</v>
      </c>
    </row>
    <row r="17" spans="1:2" ht="15.75" x14ac:dyDescent="0.25">
      <c r="A17" s="2232" t="s">
        <v>1506</v>
      </c>
      <c r="B17" s="2233">
        <v>909811</v>
      </c>
    </row>
    <row r="18" spans="1:2" ht="15.75" x14ac:dyDescent="0.25">
      <c r="A18" s="2235" t="s">
        <v>1543</v>
      </c>
      <c r="B18" s="2236">
        <f>SUM(B12:B17)</f>
        <v>3368798</v>
      </c>
    </row>
    <row r="19" spans="1:2" ht="16.5" thickBot="1" x14ac:dyDescent="0.3">
      <c r="A19" s="2237" t="s">
        <v>1544</v>
      </c>
      <c r="B19" s="2238">
        <v>150000000</v>
      </c>
    </row>
    <row r="20" spans="1:2" ht="16.5" thickBot="1" x14ac:dyDescent="0.3">
      <c r="A20" s="2239" t="s">
        <v>1545</v>
      </c>
      <c r="B20" s="2240">
        <f>SUM(B18:B19)</f>
        <v>153368798</v>
      </c>
    </row>
  </sheetData>
  <mergeCells count="5">
    <mergeCell ref="A5:C5"/>
    <mergeCell ref="A8:B8"/>
    <mergeCell ref="A1:C1"/>
    <mergeCell ref="A2:C2"/>
    <mergeCell ref="A3:C3"/>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Munka4">
    <tabColor theme="3" tint="-0.249977111117893"/>
    <pageSetUpPr fitToPage="1"/>
  </sheetPr>
  <dimension ref="A1:AK78"/>
  <sheetViews>
    <sheetView view="pageBreakPreview" zoomScale="50" zoomScaleSheetLayoutView="50" workbookViewId="0">
      <pane xSplit="2" ySplit="8" topLeftCell="G9" activePane="bottomRight" state="frozen"/>
      <selection activeCell="A2" sqref="A2:E2"/>
      <selection pane="topRight" activeCell="A2" sqref="A2:E2"/>
      <selection pane="bottomLeft" activeCell="A2" sqref="A2:E2"/>
      <selection pane="bottomRight" activeCell="A2" sqref="A2:E2"/>
    </sheetView>
  </sheetViews>
  <sheetFormatPr defaultRowHeight="15.75" x14ac:dyDescent="0.25"/>
  <cols>
    <col min="1" max="1" width="12.140625" style="4" customWidth="1"/>
    <col min="2" max="2" width="74" style="4" customWidth="1"/>
    <col min="3" max="3" width="18.5703125" style="4" hidden="1" customWidth="1"/>
    <col min="4" max="6" width="18.5703125" style="4" customWidth="1"/>
    <col min="7" max="7" width="17.140625" style="4" bestFit="1" customWidth="1"/>
    <col min="8" max="8" width="10.42578125" style="4" hidden="1" customWidth="1"/>
    <col min="9" max="11" width="17.5703125" style="4" customWidth="1"/>
    <col min="12" max="12" width="17.140625" style="4" bestFit="1" customWidth="1"/>
    <col min="13" max="13" width="7.140625" style="4" hidden="1" customWidth="1"/>
    <col min="14" max="16" width="19.28515625" style="4" customWidth="1"/>
    <col min="17" max="17" width="17.140625" style="4" bestFit="1" customWidth="1"/>
    <col min="18" max="18" width="8.42578125" style="4" hidden="1" customWidth="1"/>
    <col min="19" max="21" width="16.42578125" style="4" customWidth="1"/>
    <col min="22" max="22" width="16.28515625" style="4" bestFit="1" customWidth="1"/>
    <col min="23" max="23" width="7.5703125" style="4" hidden="1" customWidth="1"/>
    <col min="24" max="24" width="16.7109375" style="4" customWidth="1"/>
    <col min="25" max="25" width="17.42578125" style="4" customWidth="1"/>
    <col min="26" max="26" width="16.42578125" style="4" customWidth="1"/>
    <col min="27" max="27" width="14.28515625" style="4" customWidth="1"/>
    <col min="28" max="28" width="8.42578125" style="4" hidden="1" customWidth="1"/>
    <col min="29" max="31" width="16.7109375" style="4" customWidth="1"/>
    <col min="32" max="32" width="18" style="4" bestFit="1" customWidth="1"/>
    <col min="33" max="33" width="9.7109375" style="4" bestFit="1" customWidth="1"/>
    <col min="34" max="16384" width="9.140625" style="4"/>
  </cols>
  <sheetData>
    <row r="1" spans="1:35" ht="21" customHeight="1" x14ac:dyDescent="0.35">
      <c r="A1" s="2409" t="str">
        <f>Tartalomjegyzék_2017!A1</f>
        <v>Pilisvörösvár Város Önkormányzata Képviselő-testületének 7/2018. (IV. 27.) önkormányzati rendelete</v>
      </c>
      <c r="B1" s="2409"/>
      <c r="C1" s="2409"/>
      <c r="D1" s="2409"/>
      <c r="E1" s="2409"/>
      <c r="F1" s="2409"/>
      <c r="G1" s="2409"/>
      <c r="H1" s="2409"/>
      <c r="I1" s="2409"/>
      <c r="J1" s="2409"/>
      <c r="K1" s="2409"/>
      <c r="L1" s="2409"/>
      <c r="M1" s="2409"/>
      <c r="N1" s="2409"/>
      <c r="O1" s="2409"/>
      <c r="P1" s="2409"/>
      <c r="Q1" s="2409"/>
      <c r="R1" s="2409"/>
      <c r="S1" s="2409"/>
      <c r="T1" s="2409"/>
      <c r="U1" s="2409"/>
      <c r="V1" s="2409"/>
      <c r="W1" s="2406"/>
      <c r="X1" s="2406"/>
      <c r="Y1" s="2406"/>
      <c r="Z1" s="2406"/>
      <c r="AA1" s="2406"/>
      <c r="AB1" s="2406"/>
      <c r="AC1" s="2406"/>
      <c r="AD1" s="2406"/>
      <c r="AE1" s="2406"/>
      <c r="AF1" s="2406"/>
    </row>
    <row r="2" spans="1:35" ht="7.5" customHeight="1" x14ac:dyDescent="0.35">
      <c r="A2" s="1713"/>
      <c r="B2" s="1714"/>
      <c r="C2" s="1714"/>
      <c r="D2" s="1714"/>
      <c r="E2" s="1714"/>
      <c r="F2" s="1714"/>
      <c r="G2" s="1714"/>
      <c r="H2" s="1714"/>
      <c r="I2" s="1714"/>
      <c r="J2" s="1714"/>
      <c r="K2" s="1714"/>
      <c r="L2" s="1714"/>
      <c r="M2" s="1714"/>
      <c r="N2" s="1714"/>
      <c r="O2" s="1714"/>
      <c r="P2" s="1714"/>
      <c r="Q2" s="1714"/>
      <c r="R2" s="1714"/>
      <c r="S2" s="1714"/>
      <c r="T2" s="1714"/>
      <c r="U2" s="1714"/>
      <c r="V2" s="1714"/>
      <c r="W2" s="1341"/>
      <c r="X2" s="1341"/>
      <c r="Y2" s="1341"/>
      <c r="Z2" s="1341"/>
      <c r="AA2" s="1341"/>
      <c r="AB2" s="1341"/>
      <c r="AC2" s="1341"/>
      <c r="AD2" s="1341"/>
      <c r="AE2" s="1341"/>
      <c r="AF2" s="1341"/>
    </row>
    <row r="3" spans="1:35" ht="21" customHeight="1" x14ac:dyDescent="0.35">
      <c r="A3" s="2409" t="str">
        <f>Tartalomjegyzék_2017!A2</f>
        <v>az Önkormányzat  2017. évi zárszámadásáról</v>
      </c>
      <c r="B3" s="2409"/>
      <c r="C3" s="2409"/>
      <c r="D3" s="2409"/>
      <c r="E3" s="2409"/>
      <c r="F3" s="2409"/>
      <c r="G3" s="2409"/>
      <c r="H3" s="2409"/>
      <c r="I3" s="2409"/>
      <c r="J3" s="2409"/>
      <c r="K3" s="2409"/>
      <c r="L3" s="2409"/>
      <c r="M3" s="2409"/>
      <c r="N3" s="2409"/>
      <c r="O3" s="2409"/>
      <c r="P3" s="2409"/>
      <c r="Q3" s="2409"/>
      <c r="R3" s="2409"/>
      <c r="S3" s="2409"/>
      <c r="T3" s="2409"/>
      <c r="U3" s="2409"/>
      <c r="V3" s="2409"/>
      <c r="W3" s="2406"/>
      <c r="X3" s="2406"/>
      <c r="Y3" s="2406"/>
      <c r="Z3" s="2406"/>
      <c r="AA3" s="2406"/>
      <c r="AB3" s="2406"/>
      <c r="AC3" s="2406"/>
      <c r="AD3" s="2406"/>
      <c r="AE3" s="2406"/>
      <c r="AF3" s="2406"/>
    </row>
    <row r="4" spans="1:35" ht="22.5" customHeight="1" x14ac:dyDescent="0.35">
      <c r="A4" s="2409" t="str">
        <f>Tartalomjegyzék_2017!B9</f>
        <v xml:space="preserve">Pilisvörösvár Város Önkormányzat működési és felhalmozási célú kiadások részletes bemutatása </v>
      </c>
      <c r="B4" s="2409"/>
      <c r="C4" s="2409"/>
      <c r="D4" s="2409"/>
      <c r="E4" s="2409"/>
      <c r="F4" s="2409"/>
      <c r="G4" s="2409"/>
      <c r="H4" s="2409"/>
      <c r="I4" s="2409"/>
      <c r="J4" s="2409"/>
      <c r="K4" s="2409"/>
      <c r="L4" s="2409"/>
      <c r="M4" s="2409"/>
      <c r="N4" s="2409"/>
      <c r="O4" s="2409"/>
      <c r="P4" s="2409"/>
      <c r="Q4" s="2409"/>
      <c r="R4" s="2409"/>
      <c r="S4" s="2409"/>
      <c r="T4" s="2409"/>
      <c r="U4" s="2409"/>
      <c r="V4" s="2409"/>
      <c r="W4" s="2406"/>
      <c r="X4" s="2406"/>
      <c r="Y4" s="2406"/>
      <c r="Z4" s="2406"/>
      <c r="AA4" s="2406"/>
      <c r="AB4" s="2406"/>
      <c r="AC4" s="2406"/>
      <c r="AD4" s="2406"/>
      <c r="AE4" s="2406"/>
      <c r="AF4" s="2406"/>
    </row>
    <row r="5" spans="1:35" ht="22.5" customHeight="1" x14ac:dyDescent="0.25">
      <c r="A5" s="594"/>
      <c r="B5" s="594"/>
      <c r="C5" s="594"/>
      <c r="D5" s="594"/>
      <c r="E5" s="594"/>
      <c r="F5" s="594"/>
      <c r="G5" s="594"/>
      <c r="H5" s="594"/>
      <c r="I5" s="594"/>
      <c r="J5" s="594"/>
      <c r="K5" s="594"/>
      <c r="L5" s="594"/>
      <c r="M5" s="594"/>
      <c r="N5" s="594"/>
      <c r="O5" s="594"/>
      <c r="P5" s="594"/>
      <c r="Q5" s="594"/>
      <c r="R5" s="594"/>
      <c r="S5" s="594"/>
      <c r="T5" s="594"/>
      <c r="U5" s="594"/>
      <c r="V5" s="594"/>
      <c r="W5" s="591"/>
      <c r="X5" s="591"/>
      <c r="Y5" s="876"/>
      <c r="Z5" s="1043"/>
      <c r="AA5" s="1043"/>
      <c r="AB5" s="591"/>
      <c r="AE5" s="852"/>
      <c r="AF5" s="1342" t="s">
        <v>11</v>
      </c>
    </row>
    <row r="6" spans="1:35" ht="24" thickBot="1" x14ac:dyDescent="0.4">
      <c r="A6" s="101"/>
      <c r="B6" s="101"/>
      <c r="C6" s="101"/>
      <c r="D6" s="589"/>
      <c r="E6" s="594"/>
      <c r="F6" s="594"/>
      <c r="G6" s="594"/>
      <c r="H6" s="101"/>
      <c r="I6" s="589"/>
      <c r="J6" s="594"/>
      <c r="K6" s="594"/>
      <c r="L6" s="594"/>
      <c r="M6" s="101"/>
      <c r="N6" s="589"/>
      <c r="O6" s="594"/>
      <c r="P6" s="594"/>
      <c r="Q6" s="594"/>
      <c r="R6" s="101"/>
      <c r="S6" s="589"/>
      <c r="T6" s="594"/>
      <c r="U6" s="594"/>
      <c r="V6" s="594"/>
      <c r="AE6" s="262"/>
      <c r="AF6" s="1343" t="s">
        <v>323</v>
      </c>
    </row>
    <row r="7" spans="1:35" s="1341" customFormat="1" ht="24" thickBot="1" x14ac:dyDescent="0.4">
      <c r="A7" s="1597"/>
      <c r="B7" s="1598"/>
      <c r="C7" s="1599"/>
      <c r="D7" s="2410" t="s">
        <v>1131</v>
      </c>
      <c r="E7" s="2411"/>
      <c r="F7" s="2411"/>
      <c r="G7" s="2411"/>
      <c r="H7" s="1599"/>
      <c r="I7" s="2410" t="s">
        <v>1132</v>
      </c>
      <c r="J7" s="2411"/>
      <c r="K7" s="2411"/>
      <c r="L7" s="2411"/>
      <c r="M7" s="1599"/>
      <c r="N7" s="2410" t="s">
        <v>1133</v>
      </c>
      <c r="O7" s="2411"/>
      <c r="P7" s="2411"/>
      <c r="Q7" s="2411"/>
      <c r="R7" s="1599"/>
      <c r="S7" s="2410" t="s">
        <v>1180</v>
      </c>
      <c r="T7" s="2411"/>
      <c r="U7" s="2411"/>
      <c r="V7" s="2411"/>
      <c r="W7" s="1599"/>
      <c r="X7" s="2410" t="s">
        <v>1134</v>
      </c>
      <c r="Y7" s="2411"/>
      <c r="Z7" s="2411"/>
      <c r="AA7" s="2411"/>
      <c r="AB7" s="1599"/>
      <c r="AC7" s="2410" t="s">
        <v>1135</v>
      </c>
      <c r="AD7" s="2411"/>
      <c r="AE7" s="2411"/>
      <c r="AF7" s="2411"/>
    </row>
    <row r="8" spans="1:35" s="1607" customFormat="1" ht="129" customHeight="1" x14ac:dyDescent="0.2">
      <c r="A8" s="1600" t="s">
        <v>287</v>
      </c>
      <c r="B8" s="1601" t="s">
        <v>363</v>
      </c>
      <c r="C8" s="1602" t="s">
        <v>632</v>
      </c>
      <c r="D8" s="1603" t="str">
        <f>'2.Bevételek_részletes'!D7</f>
        <v>Önkormányzat 2017. évi eredeti előirányzat</v>
      </c>
      <c r="E8" s="1604" t="str">
        <f>'2.Bevételek_részletes'!E7</f>
        <v>Önkormányzat 2017. évi módosított előirányzat 2017.12.31</v>
      </c>
      <c r="F8" s="1604" t="str">
        <f>'2.Bevételek_részletes'!F7</f>
        <v>Önkormányzat 2017. évi Teljesítés 2017.12.31</v>
      </c>
      <c r="G8" s="1605" t="str">
        <f>'2.Bevételek_részletes'!G7</f>
        <v>Teljesítés %-ban</v>
      </c>
      <c r="H8" s="1606" t="str">
        <f>'2.Bevételek_részletes'!H7</f>
        <v>Polgármesteri Hivatal 2016. évi eredeti előirányzat</v>
      </c>
      <c r="I8" s="1603" t="str">
        <f>'2.Bevételek_részletes'!I7</f>
        <v>Polgármesteri Hivatal 2017. évi eredeti előirányzat</v>
      </c>
      <c r="J8" s="1604" t="str">
        <f>'2.Bevételek_részletes'!J7</f>
        <v>Polgármesteri Hivatal 2017. évi módosított előirányzat 2017.12.31.</v>
      </c>
      <c r="K8" s="1604" t="str">
        <f>'2.Bevételek_részletes'!K7</f>
        <v>Polgármesteri Hivatal  2017. évi Teljesítés 2017.12.31</v>
      </c>
      <c r="L8" s="1605" t="str">
        <f>'2.Bevételek_részletes'!L7</f>
        <v>Teljesítés %-ban</v>
      </c>
      <c r="M8" s="1606" t="s">
        <v>634</v>
      </c>
      <c r="N8" s="1603" t="str">
        <f>'2.Bevételek_részletes'!N7</f>
        <v>Szakorvosi Rendelőintézet 2017. évi eredeti előirányzat</v>
      </c>
      <c r="O8" s="1604" t="str">
        <f>'2.Bevételek_részletes'!O7</f>
        <v>Szakorvosi Rendelőintézet 2017. évi módosított előirányzat 2017.12.31.</v>
      </c>
      <c r="P8" s="1604" t="str">
        <f>'2.Bevételek_részletes'!P7</f>
        <v>Szakorvosi Rendelőintézet   2017. évi Teljesítés 2017.12.31</v>
      </c>
      <c r="Q8" s="1605" t="str">
        <f>'2.Bevételek_részletes'!Q7</f>
        <v>Teljesítés %-ban</v>
      </c>
      <c r="R8" s="1606" t="s">
        <v>638</v>
      </c>
      <c r="S8" s="1603" t="str">
        <f>'2.Bevételek_részletes'!S7</f>
        <v>GESZ és intézményei   2017. évi eredeti előirányzat</v>
      </c>
      <c r="T8" s="1604" t="str">
        <f>'2.Bevételek_részletes'!T7</f>
        <v>GESZ és intézményei 2017. évi módosított előirányzat 2017.12.31.</v>
      </c>
      <c r="U8" s="1604" t="str">
        <f>'2.Bevételek_részletes'!U7</f>
        <v>GESZ és intézményei    2017. évi Teljesítés 2017.12.31</v>
      </c>
      <c r="V8" s="1605" t="str">
        <f>'2.Bevételek_részletes'!V7</f>
        <v>Teljesítés %-ban</v>
      </c>
      <c r="W8" s="1606" t="str">
        <f>'2.Bevételek_részletes'!W7</f>
        <v>2016. évi             Eredeti előirányzat Összesen</v>
      </c>
      <c r="X8" s="1603" t="str">
        <f>'2.Bevételek_részletes'!X7</f>
        <v>2017. évi             Eredeti előirányzat Összesen</v>
      </c>
      <c r="Y8" s="1604" t="str">
        <f>'2.Bevételek_részletes'!Y7</f>
        <v>2017. évi módosított előirányzat Összesen 2017.12.31.</v>
      </c>
      <c r="Z8" s="1604" t="str">
        <f>'2.Bevételek_részletes'!Z7</f>
        <v>2017. évi Teljesítés Összesen 2017.12.31</v>
      </c>
      <c r="AA8" s="1605" t="str">
        <f>'2.Bevételek_részletes'!AA7</f>
        <v>Teljesítés %-ban</v>
      </c>
      <c r="AB8" s="1606" t="s">
        <v>631</v>
      </c>
      <c r="AC8" s="1603" t="str">
        <f>'2.Bevételek_részletes'!AC7</f>
        <v>2017. évi            Konszolidált eredeti előirányzat</v>
      </c>
      <c r="AD8" s="1604" t="str">
        <f>'2.Bevételek_részletes'!AD7</f>
        <v>2017. évi Konszolidált módosított előirányzat Összesen 2017.12.31.</v>
      </c>
      <c r="AE8" s="1604" t="str">
        <f>'2.Bevételek_részletes'!AE7</f>
        <v>2017. évi Konszolidált Teljesítés Összesen 2017.12.31</v>
      </c>
      <c r="AF8" s="1605" t="str">
        <f>'2.Bevételek_részletes'!AF7</f>
        <v>Teljesítés %-ban</v>
      </c>
    </row>
    <row r="9" spans="1:35" s="7" customFormat="1" ht="28.5" customHeight="1" x14ac:dyDescent="0.35">
      <c r="A9" s="1558" t="s">
        <v>89</v>
      </c>
      <c r="B9" s="864" t="s">
        <v>289</v>
      </c>
      <c r="C9" s="883">
        <f>77456-C10</f>
        <v>73906</v>
      </c>
      <c r="D9" s="1565">
        <v>48270</v>
      </c>
      <c r="E9" s="1566">
        <f>D9+1475-49+1-1-144-100+110-200+114+28+1+40-53-176-2-25-407-100-834</f>
        <v>47948</v>
      </c>
      <c r="F9" s="1566">
        <f>46237-3005</f>
        <v>43232</v>
      </c>
      <c r="G9" s="1567">
        <f>F9/E9%</f>
        <v>90.164344706765661</v>
      </c>
      <c r="H9" s="1568">
        <f>196178-H10</f>
        <v>195928</v>
      </c>
      <c r="I9" s="1565">
        <v>270299</v>
      </c>
      <c r="J9" s="1566">
        <f>I9+102+93+10+30+70+10+9+99+12+37-1000+650+250+50+100+200-360+3080+29+67-2+79+10+15+80+10+15+79+10+16-175+79+10+17+2334+79+10+17-8-14+79+10+16-76-158+1-19+79+10+17-394+79+10+17+80+10+16-102-500-1378-204-1</f>
        <v>274090</v>
      </c>
      <c r="K9" s="1566">
        <f>247298-348</f>
        <v>246950</v>
      </c>
      <c r="L9" s="1567">
        <f>K9/J9%</f>
        <v>90.098142945747739</v>
      </c>
      <c r="M9" s="1568">
        <v>105167</v>
      </c>
      <c r="N9" s="1565">
        <v>120025</v>
      </c>
      <c r="O9" s="1590">
        <f>120025+737+285+257+257+1+762+6414-1</f>
        <v>128737</v>
      </c>
      <c r="P9" s="1566">
        <f>119714-83</f>
        <v>119631</v>
      </c>
      <c r="Q9" s="1569">
        <f>P9/O9%</f>
        <v>92.926664439904613</v>
      </c>
      <c r="R9" s="1568">
        <f>'3. Gesz költségvetés'!AB36</f>
        <v>308929</v>
      </c>
      <c r="S9" s="1565">
        <f>'3. Gesz költségvetés'!AC36</f>
        <v>338198</v>
      </c>
      <c r="T9" s="1566">
        <f>'3. Gesz költségvetés'!AD36</f>
        <v>346303</v>
      </c>
      <c r="U9" s="1566">
        <f>'3. Gesz költségvetés'!AE36</f>
        <v>329707</v>
      </c>
      <c r="V9" s="1569">
        <f>U9/T9%</f>
        <v>95.207664963918873</v>
      </c>
      <c r="W9" s="1568">
        <f t="shared" ref="W9:W19" si="0">C9+H9+M9+R9</f>
        <v>683930</v>
      </c>
      <c r="X9" s="1565">
        <f t="shared" ref="X9:X19" si="1">D9+I9+N9+S9</f>
        <v>776792</v>
      </c>
      <c r="Y9" s="1566">
        <f t="shared" ref="Y9:Z19" si="2">E9+J9+O9+T9</f>
        <v>797078</v>
      </c>
      <c r="Z9" s="1566">
        <f t="shared" si="2"/>
        <v>739520</v>
      </c>
      <c r="AA9" s="1567">
        <f t="shared" ref="AA9:AA14" si="3">Z9/Y9%</f>
        <v>92.778874840354391</v>
      </c>
      <c r="AB9" s="1568">
        <f t="shared" ref="AB9:AB19" si="4">C9+H9+M9+R9</f>
        <v>683930</v>
      </c>
      <c r="AC9" s="1565">
        <f t="shared" ref="AC9:AC19" si="5">D9+I9+N9+S9</f>
        <v>776792</v>
      </c>
      <c r="AD9" s="1566">
        <f t="shared" ref="AD9:AE19" si="6">E9+J9+O9+T9</f>
        <v>797078</v>
      </c>
      <c r="AE9" s="1566">
        <f t="shared" si="6"/>
        <v>739520</v>
      </c>
      <c r="AF9" s="1569">
        <f t="shared" ref="AF9:AF14" si="7">AE9/AD9%</f>
        <v>92.778874840354391</v>
      </c>
      <c r="AG9" s="623"/>
    </row>
    <row r="10" spans="1:35" s="7" customFormat="1" ht="28.5" customHeight="1" x14ac:dyDescent="0.35">
      <c r="A10" s="1558" t="s">
        <v>84</v>
      </c>
      <c r="B10" s="864" t="s">
        <v>85</v>
      </c>
      <c r="C10" s="883">
        <f>1800+1750</f>
        <v>3550</v>
      </c>
      <c r="D10" s="1565">
        <v>3090</v>
      </c>
      <c r="E10" s="1566">
        <f>D10+46-61-167+66+68+478-900+52+167+24+643+1433-1746-374+12+6+21+148</f>
        <v>3006</v>
      </c>
      <c r="F10" s="1566">
        <v>3005</v>
      </c>
      <c r="G10" s="1567">
        <f t="shared" ref="G10:G35" si="8">F10/E10%</f>
        <v>99.966733200266134</v>
      </c>
      <c r="H10" s="1568">
        <v>250</v>
      </c>
      <c r="I10" s="1565">
        <v>360</v>
      </c>
      <c r="J10" s="1566">
        <f>I10+88-110-1-211+222</f>
        <v>348</v>
      </c>
      <c r="K10" s="1566">
        <v>348</v>
      </c>
      <c r="L10" s="1567">
        <f t="shared" ref="L10:L14" si="9">K10/J10%</f>
        <v>100</v>
      </c>
      <c r="M10" s="1568">
        <v>150</v>
      </c>
      <c r="N10" s="1565">
        <v>100</v>
      </c>
      <c r="O10" s="1590">
        <v>300</v>
      </c>
      <c r="P10" s="1566">
        <v>83</v>
      </c>
      <c r="Q10" s="1569">
        <f t="shared" ref="Q10:Q13" si="10">P10/O10%</f>
        <v>27.666666666666668</v>
      </c>
      <c r="R10" s="1568">
        <f>'3. Gesz költségvetés'!AB38</f>
        <v>1200</v>
      </c>
      <c r="S10" s="1565">
        <f>'3. Gesz költségvetés'!AC38</f>
        <v>600</v>
      </c>
      <c r="T10" s="1566">
        <f>'3. Gesz költségvetés'!AD38</f>
        <v>628</v>
      </c>
      <c r="U10" s="1566">
        <f>'3. Gesz költségvetés'!AE38</f>
        <v>628</v>
      </c>
      <c r="V10" s="1569">
        <f>U10/T10%</f>
        <v>100</v>
      </c>
      <c r="W10" s="1568">
        <f t="shared" si="0"/>
        <v>5150</v>
      </c>
      <c r="X10" s="1565">
        <f t="shared" si="1"/>
        <v>4150</v>
      </c>
      <c r="Y10" s="1566">
        <f t="shared" si="2"/>
        <v>4282</v>
      </c>
      <c r="Z10" s="1566">
        <f t="shared" si="2"/>
        <v>4064</v>
      </c>
      <c r="AA10" s="1567">
        <f t="shared" si="3"/>
        <v>94.908921064922936</v>
      </c>
      <c r="AB10" s="1568">
        <f t="shared" si="4"/>
        <v>5150</v>
      </c>
      <c r="AC10" s="1565">
        <f t="shared" si="5"/>
        <v>4150</v>
      </c>
      <c r="AD10" s="1566">
        <f t="shared" si="6"/>
        <v>4282</v>
      </c>
      <c r="AE10" s="1566">
        <f t="shared" si="6"/>
        <v>4064</v>
      </c>
      <c r="AF10" s="1569">
        <f t="shared" si="7"/>
        <v>94.908921064922936</v>
      </c>
      <c r="AG10" s="623"/>
    </row>
    <row r="11" spans="1:35" s="7" customFormat="1" ht="28.5" customHeight="1" x14ac:dyDescent="0.35">
      <c r="A11" s="1559" t="s">
        <v>288</v>
      </c>
      <c r="B11" s="1554" t="s">
        <v>289</v>
      </c>
      <c r="C11" s="884">
        <f t="shared" ref="C11:S11" si="11">C9+C10</f>
        <v>77456</v>
      </c>
      <c r="D11" s="1570">
        <f t="shared" si="11"/>
        <v>51360</v>
      </c>
      <c r="E11" s="1571">
        <f>E9+E10</f>
        <v>50954</v>
      </c>
      <c r="F11" s="1571">
        <f>F9+F10</f>
        <v>46237</v>
      </c>
      <c r="G11" s="1572">
        <f t="shared" si="8"/>
        <v>90.742630607999374</v>
      </c>
      <c r="H11" s="1573">
        <f t="shared" si="11"/>
        <v>196178</v>
      </c>
      <c r="I11" s="1570">
        <f t="shared" si="11"/>
        <v>270659</v>
      </c>
      <c r="J11" s="1574">
        <f>J9+J10</f>
        <v>274438</v>
      </c>
      <c r="K11" s="1574">
        <f>K9+K10</f>
        <v>247298</v>
      </c>
      <c r="L11" s="1575">
        <f t="shared" si="9"/>
        <v>90.110698955683972</v>
      </c>
      <c r="M11" s="1573">
        <f t="shared" si="11"/>
        <v>105317</v>
      </c>
      <c r="N11" s="1570">
        <f t="shared" si="11"/>
        <v>120125</v>
      </c>
      <c r="O11" s="1571">
        <f t="shared" ref="O11:P11" si="12">O9+O10</f>
        <v>129037</v>
      </c>
      <c r="P11" s="1574">
        <f t="shared" si="12"/>
        <v>119714</v>
      </c>
      <c r="Q11" s="1569">
        <f t="shared" si="10"/>
        <v>92.774940520935857</v>
      </c>
      <c r="R11" s="1573">
        <f t="shared" si="11"/>
        <v>310129</v>
      </c>
      <c r="S11" s="1570">
        <f t="shared" si="11"/>
        <v>338798</v>
      </c>
      <c r="T11" s="1574">
        <f t="shared" ref="T11:U11" si="13">T9+T10</f>
        <v>346931</v>
      </c>
      <c r="U11" s="1574">
        <f t="shared" si="13"/>
        <v>330335</v>
      </c>
      <c r="V11" s="1569">
        <f>U11/T11%</f>
        <v>95.21633984855778</v>
      </c>
      <c r="W11" s="1573">
        <f t="shared" si="0"/>
        <v>689080</v>
      </c>
      <c r="X11" s="1570">
        <f t="shared" si="1"/>
        <v>780942</v>
      </c>
      <c r="Y11" s="1574">
        <f t="shared" si="2"/>
        <v>801360</v>
      </c>
      <c r="Z11" s="1574">
        <f t="shared" si="2"/>
        <v>743584</v>
      </c>
      <c r="AA11" s="1572">
        <f t="shared" si="3"/>
        <v>92.790256563841467</v>
      </c>
      <c r="AB11" s="1573">
        <f t="shared" si="4"/>
        <v>689080</v>
      </c>
      <c r="AC11" s="1570">
        <f t="shared" si="5"/>
        <v>780942</v>
      </c>
      <c r="AD11" s="1574">
        <f t="shared" si="6"/>
        <v>801360</v>
      </c>
      <c r="AE11" s="1574">
        <f t="shared" si="6"/>
        <v>743584</v>
      </c>
      <c r="AF11" s="1711">
        <f t="shared" si="7"/>
        <v>92.790256563841467</v>
      </c>
      <c r="AG11" s="623"/>
      <c r="AI11" s="623"/>
    </row>
    <row r="12" spans="1:35" s="7" customFormat="1" ht="45.75" customHeight="1" x14ac:dyDescent="0.35">
      <c r="A12" s="1559" t="s">
        <v>290</v>
      </c>
      <c r="B12" s="1450" t="s">
        <v>291</v>
      </c>
      <c r="C12" s="884">
        <v>18144</v>
      </c>
      <c r="D12" s="1570">
        <v>9204</v>
      </c>
      <c r="E12" s="1571">
        <f>D12+325+49-29-19+29+19+30+20+4-1-40+176+2-112+407-48+686</f>
        <v>10702</v>
      </c>
      <c r="F12" s="1571">
        <v>9313</v>
      </c>
      <c r="G12" s="1572">
        <f t="shared" si="8"/>
        <v>87.02111754812185</v>
      </c>
      <c r="H12" s="1573">
        <v>53352</v>
      </c>
      <c r="I12" s="1570">
        <v>60100</v>
      </c>
      <c r="J12" s="1571">
        <f>I12+17+2+6+12+2+2+22+3+10+100+10+677+16+17+2+14+2+4+14+2+3+14+2+4+175+14+2+4+514+14+2+4+8+14+14+2+4+76-1+19+14+2+4+394+14+2+4+14+2+4+500+1527-19</f>
        <v>64384</v>
      </c>
      <c r="K12" s="1571">
        <v>60206</v>
      </c>
      <c r="L12" s="1572">
        <f t="shared" si="9"/>
        <v>93.510810139165002</v>
      </c>
      <c r="M12" s="1573">
        <v>25585</v>
      </c>
      <c r="N12" s="1570">
        <v>26245</v>
      </c>
      <c r="O12" s="1574">
        <f>26245+175+63+56+57-1+168+2022</f>
        <v>28785</v>
      </c>
      <c r="P12" s="1574">
        <v>26748</v>
      </c>
      <c r="Q12" s="1569">
        <f t="shared" si="10"/>
        <v>92.923397602918186</v>
      </c>
      <c r="R12" s="1573">
        <f>'3. Gesz költségvetés'!AB40</f>
        <v>79781</v>
      </c>
      <c r="S12" s="1570">
        <f>'3. Gesz költségvetés'!AC40</f>
        <v>81771</v>
      </c>
      <c r="T12" s="1574">
        <f>'3. Gesz költségvetés'!AD40</f>
        <v>83472</v>
      </c>
      <c r="U12" s="1574">
        <f>'3. Gesz költségvetés'!AE40</f>
        <v>77010</v>
      </c>
      <c r="V12" s="1569">
        <f t="shared" ref="V12:V13" si="14">U12/T12%</f>
        <v>92.258481886141453</v>
      </c>
      <c r="W12" s="1573">
        <f t="shared" si="0"/>
        <v>176862</v>
      </c>
      <c r="X12" s="1570">
        <f t="shared" si="1"/>
        <v>177320</v>
      </c>
      <c r="Y12" s="1574">
        <f t="shared" si="2"/>
        <v>187343</v>
      </c>
      <c r="Z12" s="1574">
        <f t="shared" si="2"/>
        <v>173277</v>
      </c>
      <c r="AA12" s="1572">
        <f t="shared" si="3"/>
        <v>92.491846506141144</v>
      </c>
      <c r="AB12" s="1573">
        <f t="shared" si="4"/>
        <v>176862</v>
      </c>
      <c r="AC12" s="1570">
        <f t="shared" si="5"/>
        <v>177320</v>
      </c>
      <c r="AD12" s="1574">
        <f t="shared" si="6"/>
        <v>187343</v>
      </c>
      <c r="AE12" s="1574">
        <f t="shared" si="6"/>
        <v>173277</v>
      </c>
      <c r="AF12" s="1711">
        <f t="shared" si="7"/>
        <v>92.491846506141144</v>
      </c>
      <c r="AG12" s="623"/>
      <c r="AI12" s="623"/>
    </row>
    <row r="13" spans="1:35" s="7" customFormat="1" ht="28.5" customHeight="1" x14ac:dyDescent="0.35">
      <c r="A13" s="1559" t="s">
        <v>292</v>
      </c>
      <c r="B13" s="1450" t="s">
        <v>293</v>
      </c>
      <c r="C13" s="884">
        <f>'16. Dologi kiadások cofog(K3)'!D44</f>
        <v>353451.94440000004</v>
      </c>
      <c r="D13" s="1570">
        <f>'16. Dologi kiadások cofog(K3)'!E44</f>
        <v>185780.70800000001</v>
      </c>
      <c r="E13" s="1574">
        <f>'16. Dologi kiadások cofog(K3)'!F44</f>
        <v>247002.70800000001</v>
      </c>
      <c r="F13" s="1574">
        <f>'16. Dologi kiadások cofog(K3)'!G44</f>
        <v>209272</v>
      </c>
      <c r="G13" s="1575">
        <f t="shared" si="8"/>
        <v>84.724577189655747</v>
      </c>
      <c r="H13" s="1573">
        <f>'16. Dologi kiadások cofog(K3)'!I44</f>
        <v>51349</v>
      </c>
      <c r="I13" s="1570">
        <f>'16. Dologi kiadások cofog(K3)'!J44</f>
        <v>211319.356</v>
      </c>
      <c r="J13" s="1574">
        <f>'16. Dologi kiadások cofog(K3)'!K44</f>
        <v>202226.356</v>
      </c>
      <c r="K13" s="1574">
        <f>'16. Dologi kiadások cofog(K3)'!L44</f>
        <v>169459</v>
      </c>
      <c r="L13" s="1575">
        <f t="shared" si="9"/>
        <v>83.796693641653704</v>
      </c>
      <c r="M13" s="1573">
        <v>132070</v>
      </c>
      <c r="N13" s="1570">
        <v>124045</v>
      </c>
      <c r="O13" s="1574">
        <f>124045-150+8938-388+8671+18116</f>
        <v>159232</v>
      </c>
      <c r="P13" s="1574">
        <v>150605</v>
      </c>
      <c r="Q13" s="1569">
        <f t="shared" si="10"/>
        <v>94.582119172025727</v>
      </c>
      <c r="R13" s="1573">
        <f>'3. Gesz költségvetés'!AB41</f>
        <v>118174</v>
      </c>
      <c r="S13" s="1570">
        <f>'3. Gesz költségvetés'!AC41</f>
        <v>95291</v>
      </c>
      <c r="T13" s="1574">
        <f>'3. Gesz költségvetés'!AD41</f>
        <v>99596</v>
      </c>
      <c r="U13" s="1574">
        <f>'3. Gesz költségvetés'!AE41</f>
        <v>88459</v>
      </c>
      <c r="V13" s="1569">
        <f t="shared" si="14"/>
        <v>88.81782400899634</v>
      </c>
      <c r="W13" s="1573">
        <f t="shared" si="0"/>
        <v>655044.94440000004</v>
      </c>
      <c r="X13" s="1570">
        <f t="shared" si="1"/>
        <v>616436.06400000001</v>
      </c>
      <c r="Y13" s="1574">
        <f t="shared" si="2"/>
        <v>708057.06400000001</v>
      </c>
      <c r="Z13" s="1571">
        <f>F13+K13+P13+U13</f>
        <v>617795</v>
      </c>
      <c r="AA13" s="1575">
        <f t="shared" si="3"/>
        <v>87.25214836639212</v>
      </c>
      <c r="AB13" s="1573">
        <f t="shared" si="4"/>
        <v>655044.94440000004</v>
      </c>
      <c r="AC13" s="1570">
        <f t="shared" si="5"/>
        <v>616436.06400000001</v>
      </c>
      <c r="AD13" s="1574">
        <f t="shared" si="6"/>
        <v>708057.06400000001</v>
      </c>
      <c r="AE13" s="1574">
        <f>F13+K13+P13+U13</f>
        <v>617795</v>
      </c>
      <c r="AF13" s="1578">
        <f t="shared" si="7"/>
        <v>87.25214836639212</v>
      </c>
      <c r="AG13" s="623"/>
      <c r="AI13" s="623"/>
    </row>
    <row r="14" spans="1:35" s="7" customFormat="1" ht="28.5" customHeight="1" x14ac:dyDescent="0.3">
      <c r="A14" s="1559" t="s">
        <v>294</v>
      </c>
      <c r="B14" s="1450" t="s">
        <v>39</v>
      </c>
      <c r="C14" s="884">
        <f>'17. Ellátottak p.jutattás (K4)'!D27</f>
        <v>15271</v>
      </c>
      <c r="D14" s="1570">
        <f>'17. Ellátottak p.jutattás (K4)'!E27</f>
        <v>15566</v>
      </c>
      <c r="E14" s="1574">
        <f>'17. Ellátottak p.jutattás (K4)'!F27</f>
        <v>15893</v>
      </c>
      <c r="F14" s="1574">
        <f>'17. Ellátottak p.jutattás (K4)'!G27</f>
        <v>11724</v>
      </c>
      <c r="G14" s="1575">
        <f t="shared" si="8"/>
        <v>73.768325677971433</v>
      </c>
      <c r="H14" s="1573">
        <f>'17. Ellátottak p.jutattás (K4)'!I27</f>
        <v>4900</v>
      </c>
      <c r="I14" s="1570">
        <f>'17. Ellátottak p.jutattás (K4)'!J27</f>
        <v>3800</v>
      </c>
      <c r="J14" s="1574">
        <f>'17. Ellátottak p.jutattás (K4)'!K27</f>
        <v>3855</v>
      </c>
      <c r="K14" s="1574">
        <f>'17. Ellátottak p.jutattás (K4)'!L27</f>
        <v>3037</v>
      </c>
      <c r="L14" s="1575">
        <f t="shared" si="9"/>
        <v>78.78080415045396</v>
      </c>
      <c r="M14" s="1573">
        <v>0</v>
      </c>
      <c r="N14" s="1570">
        <v>0</v>
      </c>
      <c r="O14" s="1574">
        <v>0</v>
      </c>
      <c r="P14" s="1574">
        <v>0</v>
      </c>
      <c r="Q14" s="1576"/>
      <c r="R14" s="1573">
        <v>0</v>
      </c>
      <c r="S14" s="1570">
        <v>0</v>
      </c>
      <c r="T14" s="1574">
        <v>0</v>
      </c>
      <c r="U14" s="1574">
        <v>0</v>
      </c>
      <c r="V14" s="1576"/>
      <c r="W14" s="1573">
        <f t="shared" si="0"/>
        <v>20171</v>
      </c>
      <c r="X14" s="1570">
        <f t="shared" si="1"/>
        <v>19366</v>
      </c>
      <c r="Y14" s="1574">
        <f t="shared" si="2"/>
        <v>19748</v>
      </c>
      <c r="Z14" s="1574">
        <f t="shared" si="2"/>
        <v>14761</v>
      </c>
      <c r="AA14" s="1575">
        <f t="shared" si="3"/>
        <v>74.746809803524414</v>
      </c>
      <c r="AB14" s="1573">
        <f t="shared" si="4"/>
        <v>20171</v>
      </c>
      <c r="AC14" s="1570">
        <f t="shared" si="5"/>
        <v>19366</v>
      </c>
      <c r="AD14" s="1574">
        <f t="shared" si="6"/>
        <v>19748</v>
      </c>
      <c r="AE14" s="1574">
        <f t="shared" si="6"/>
        <v>14761</v>
      </c>
      <c r="AF14" s="1578">
        <f t="shared" si="7"/>
        <v>74.746809803524414</v>
      </c>
      <c r="AG14" s="623"/>
    </row>
    <row r="15" spans="1:35" s="7" customFormat="1" ht="28.5" customHeight="1" x14ac:dyDescent="0.35">
      <c r="A15" s="1558" t="s">
        <v>120</v>
      </c>
      <c r="B15" s="1275" t="s">
        <v>121</v>
      </c>
      <c r="C15" s="883">
        <f>'18. Pe. átad. és tám. (K5)'!D11</f>
        <v>0</v>
      </c>
      <c r="D15" s="1565">
        <f>'18. Pe. átad. és tám. (K5)'!E11</f>
        <v>0</v>
      </c>
      <c r="E15" s="1566">
        <f>'18. Pe. átad. és tám. (K5)'!F11</f>
        <v>2551</v>
      </c>
      <c r="F15" s="1566">
        <f>'18. Pe. átad. és tám. (K5)'!G11</f>
        <v>2551</v>
      </c>
      <c r="G15" s="1567">
        <f t="shared" si="8"/>
        <v>100</v>
      </c>
      <c r="H15" s="1568"/>
      <c r="I15" s="1565"/>
      <c r="J15" s="1566"/>
      <c r="K15" s="1566"/>
      <c r="L15" s="1567"/>
      <c r="M15" s="1568">
        <v>0</v>
      </c>
      <c r="N15" s="1565">
        <v>0</v>
      </c>
      <c r="O15" s="1566">
        <v>0</v>
      </c>
      <c r="P15" s="1574">
        <v>0</v>
      </c>
      <c r="Q15" s="1577"/>
      <c r="R15" s="1568">
        <v>0</v>
      </c>
      <c r="S15" s="1565">
        <v>0</v>
      </c>
      <c r="T15" s="1566">
        <f>'3. Gesz költségvetés'!AD46</f>
        <v>4108</v>
      </c>
      <c r="U15" s="1566">
        <f>'3. Gesz költségvetés'!AE46</f>
        <v>4108</v>
      </c>
      <c r="V15" s="1569">
        <f>U15/T15%</f>
        <v>100</v>
      </c>
      <c r="W15" s="1568">
        <f t="shared" si="0"/>
        <v>0</v>
      </c>
      <c r="X15" s="1565">
        <f t="shared" si="1"/>
        <v>0</v>
      </c>
      <c r="Y15" s="1566">
        <f t="shared" si="2"/>
        <v>6659</v>
      </c>
      <c r="Z15" s="1566">
        <f t="shared" si="2"/>
        <v>6659</v>
      </c>
      <c r="AA15" s="1567">
        <f t="shared" ref="AA15:AA33" si="15">Z15/Y15%</f>
        <v>100</v>
      </c>
      <c r="AB15" s="1568">
        <f t="shared" si="4"/>
        <v>0</v>
      </c>
      <c r="AC15" s="1565">
        <f t="shared" si="5"/>
        <v>0</v>
      </c>
      <c r="AD15" s="1566">
        <f t="shared" si="6"/>
        <v>6659</v>
      </c>
      <c r="AE15" s="1566">
        <f t="shared" si="6"/>
        <v>6659</v>
      </c>
      <c r="AF15" s="1569">
        <f t="shared" ref="AF15:AF32" si="16">AE15/AD15%</f>
        <v>100</v>
      </c>
      <c r="AG15" s="623"/>
    </row>
    <row r="16" spans="1:35" s="7" customFormat="1" ht="41.25" customHeight="1" x14ac:dyDescent="0.35">
      <c r="A16" s="1558" t="s">
        <v>295</v>
      </c>
      <c r="B16" s="864" t="s">
        <v>296</v>
      </c>
      <c r="C16" s="883">
        <f>'18. Pe. átad. és tám. (K5)'!D23</f>
        <v>107350</v>
      </c>
      <c r="D16" s="1565">
        <f>'18. Pe. átad. és tám. (K5)'!E23</f>
        <v>107182</v>
      </c>
      <c r="E16" s="1566">
        <f>'18. Pe. átad. és tám. (K5)'!F23</f>
        <v>129228</v>
      </c>
      <c r="F16" s="1566">
        <f>'18. Pe. átad. és tám. (K5)'!G23</f>
        <v>128443</v>
      </c>
      <c r="G16" s="1567">
        <f t="shared" si="8"/>
        <v>99.39254650694896</v>
      </c>
      <c r="H16" s="1568"/>
      <c r="I16" s="1565"/>
      <c r="J16" s="1566"/>
      <c r="K16" s="1566"/>
      <c r="L16" s="1567"/>
      <c r="M16" s="1568">
        <v>0</v>
      </c>
      <c r="N16" s="1565">
        <v>0</v>
      </c>
      <c r="O16" s="1566">
        <v>0</v>
      </c>
      <c r="P16" s="1574">
        <v>0</v>
      </c>
      <c r="Q16" s="1577"/>
      <c r="R16" s="1568">
        <v>0</v>
      </c>
      <c r="S16" s="1565">
        <v>0</v>
      </c>
      <c r="T16" s="1566">
        <v>0</v>
      </c>
      <c r="U16" s="1566">
        <v>0</v>
      </c>
      <c r="V16" s="1577"/>
      <c r="W16" s="1568">
        <f t="shared" si="0"/>
        <v>107350</v>
      </c>
      <c r="X16" s="1565">
        <f t="shared" si="1"/>
        <v>107182</v>
      </c>
      <c r="Y16" s="1566">
        <f t="shared" si="2"/>
        <v>129228</v>
      </c>
      <c r="Z16" s="1566">
        <f t="shared" si="2"/>
        <v>128443</v>
      </c>
      <c r="AA16" s="1567">
        <f t="shared" si="15"/>
        <v>99.39254650694896</v>
      </c>
      <c r="AB16" s="1568">
        <f t="shared" si="4"/>
        <v>107350</v>
      </c>
      <c r="AC16" s="1565">
        <f t="shared" si="5"/>
        <v>107182</v>
      </c>
      <c r="AD16" s="1566">
        <f t="shared" si="6"/>
        <v>129228</v>
      </c>
      <c r="AE16" s="1566">
        <f t="shared" si="6"/>
        <v>128443</v>
      </c>
      <c r="AF16" s="1569">
        <f t="shared" si="16"/>
        <v>99.39254650694896</v>
      </c>
      <c r="AG16" s="623"/>
    </row>
    <row r="17" spans="1:37" s="7" customFormat="1" ht="43.5" customHeight="1" x14ac:dyDescent="0.35">
      <c r="A17" s="1558" t="s">
        <v>298</v>
      </c>
      <c r="B17" s="864" t="s">
        <v>297</v>
      </c>
      <c r="C17" s="883">
        <f>'18. Pe. átad. és tám. (K5)'!D33</f>
        <v>10500</v>
      </c>
      <c r="D17" s="1565">
        <f>'18. Pe. átad. és tám. (K5)'!E33</f>
        <v>10706</v>
      </c>
      <c r="E17" s="1566">
        <f>'18. Pe. átad. és tám. (K5)'!F33</f>
        <v>15780</v>
      </c>
      <c r="F17" s="1566">
        <f>'18. Pe. átad. és tám. (K5)'!G33</f>
        <v>14515</v>
      </c>
      <c r="G17" s="1567">
        <f t="shared" si="8"/>
        <v>91.983523447401765</v>
      </c>
      <c r="H17" s="1568"/>
      <c r="I17" s="1565"/>
      <c r="J17" s="1566"/>
      <c r="K17" s="1566"/>
      <c r="L17" s="1567"/>
      <c r="M17" s="1568">
        <v>0</v>
      </c>
      <c r="N17" s="1565">
        <v>0</v>
      </c>
      <c r="O17" s="1566">
        <v>0</v>
      </c>
      <c r="P17" s="1574">
        <v>0</v>
      </c>
      <c r="Q17" s="1577"/>
      <c r="R17" s="1568">
        <v>0</v>
      </c>
      <c r="S17" s="1565">
        <v>0</v>
      </c>
      <c r="T17" s="1566">
        <v>0</v>
      </c>
      <c r="U17" s="1566">
        <v>0</v>
      </c>
      <c r="V17" s="1577"/>
      <c r="W17" s="1568">
        <f t="shared" si="0"/>
        <v>10500</v>
      </c>
      <c r="X17" s="1565">
        <f t="shared" si="1"/>
        <v>10706</v>
      </c>
      <c r="Y17" s="1566">
        <f t="shared" si="2"/>
        <v>15780</v>
      </c>
      <c r="Z17" s="1566">
        <f t="shared" si="2"/>
        <v>14515</v>
      </c>
      <c r="AA17" s="1567">
        <f t="shared" si="15"/>
        <v>91.983523447401765</v>
      </c>
      <c r="AB17" s="1568">
        <f t="shared" si="4"/>
        <v>10500</v>
      </c>
      <c r="AC17" s="1565">
        <f t="shared" si="5"/>
        <v>10706</v>
      </c>
      <c r="AD17" s="1566">
        <f t="shared" si="6"/>
        <v>15780</v>
      </c>
      <c r="AE17" s="1566">
        <f t="shared" si="6"/>
        <v>14515</v>
      </c>
      <c r="AF17" s="1569">
        <f t="shared" si="16"/>
        <v>91.983523447401765</v>
      </c>
      <c r="AG17" s="623"/>
    </row>
    <row r="18" spans="1:37" s="7" customFormat="1" ht="28.5" customHeight="1" x14ac:dyDescent="0.35">
      <c r="A18" s="1558" t="s">
        <v>785</v>
      </c>
      <c r="B18" s="1447" t="s">
        <v>86</v>
      </c>
      <c r="C18" s="883">
        <f>'18. Pe. átad. és tám. (K5)'!D37</f>
        <v>317704</v>
      </c>
      <c r="D18" s="1565">
        <f>'18. Pe. átad. és tám. (K5)'!E37</f>
        <v>198454</v>
      </c>
      <c r="E18" s="1566">
        <f>'18. Pe. átad. és tám. (K5)'!F37</f>
        <v>111594</v>
      </c>
      <c r="F18" s="1566">
        <f>'18. Pe. átad. és tám. (K5)'!G37</f>
        <v>0</v>
      </c>
      <c r="G18" s="1567">
        <f t="shared" si="8"/>
        <v>0</v>
      </c>
      <c r="H18" s="1568"/>
      <c r="I18" s="1565"/>
      <c r="J18" s="1566"/>
      <c r="K18" s="1566"/>
      <c r="L18" s="1567"/>
      <c r="M18" s="1568">
        <v>0</v>
      </c>
      <c r="N18" s="1565">
        <v>0</v>
      </c>
      <c r="O18" s="1566">
        <v>0</v>
      </c>
      <c r="P18" s="1574">
        <v>0</v>
      </c>
      <c r="Q18" s="1577"/>
      <c r="R18" s="1568">
        <v>0</v>
      </c>
      <c r="S18" s="1565">
        <v>0</v>
      </c>
      <c r="T18" s="1566">
        <v>0</v>
      </c>
      <c r="U18" s="1566">
        <v>0</v>
      </c>
      <c r="V18" s="1577"/>
      <c r="W18" s="1568">
        <f t="shared" si="0"/>
        <v>317704</v>
      </c>
      <c r="X18" s="1565">
        <f t="shared" si="1"/>
        <v>198454</v>
      </c>
      <c r="Y18" s="1566">
        <f t="shared" si="2"/>
        <v>111594</v>
      </c>
      <c r="Z18" s="1566">
        <f t="shared" si="2"/>
        <v>0</v>
      </c>
      <c r="AA18" s="1567">
        <f t="shared" si="15"/>
        <v>0</v>
      </c>
      <c r="AB18" s="1568">
        <f t="shared" si="4"/>
        <v>317704</v>
      </c>
      <c r="AC18" s="1565">
        <f t="shared" si="5"/>
        <v>198454</v>
      </c>
      <c r="AD18" s="1566">
        <f t="shared" si="6"/>
        <v>111594</v>
      </c>
      <c r="AE18" s="1566">
        <f t="shared" si="6"/>
        <v>0</v>
      </c>
      <c r="AF18" s="1569">
        <f t="shared" si="16"/>
        <v>0</v>
      </c>
      <c r="AG18" s="623"/>
    </row>
    <row r="19" spans="1:37" s="7" customFormat="1" ht="28.5" customHeight="1" x14ac:dyDescent="0.3">
      <c r="A19" s="1559" t="s">
        <v>301</v>
      </c>
      <c r="B19" s="1450" t="s">
        <v>302</v>
      </c>
      <c r="C19" s="884">
        <f t="shared" ref="C19:I19" si="17">SUM(C15:C18)</f>
        <v>435554</v>
      </c>
      <c r="D19" s="1570">
        <f t="shared" si="17"/>
        <v>316342</v>
      </c>
      <c r="E19" s="1574">
        <f>SUM(E15:E18)</f>
        <v>259153</v>
      </c>
      <c r="F19" s="1574">
        <f>SUM(F15:F18)</f>
        <v>145509</v>
      </c>
      <c r="G19" s="1575">
        <f t="shared" si="8"/>
        <v>56.147912623045066</v>
      </c>
      <c r="H19" s="1573">
        <f t="shared" si="17"/>
        <v>0</v>
      </c>
      <c r="I19" s="1570">
        <f t="shared" si="17"/>
        <v>0</v>
      </c>
      <c r="J19" s="1574">
        <f t="shared" ref="J19:K19" si="18">SUM(J15:J18)</f>
        <v>0</v>
      </c>
      <c r="K19" s="1574">
        <f t="shared" si="18"/>
        <v>0</v>
      </c>
      <c r="L19" s="1575"/>
      <c r="M19" s="1573">
        <v>0</v>
      </c>
      <c r="N19" s="1570">
        <v>0</v>
      </c>
      <c r="O19" s="1574">
        <v>0</v>
      </c>
      <c r="P19" s="1574">
        <v>0</v>
      </c>
      <c r="Q19" s="1576"/>
      <c r="R19" s="1573">
        <f>'3. Gesz költségvetés'!AB46</f>
        <v>884</v>
      </c>
      <c r="S19" s="1570">
        <f>'3. Gesz költségvetés'!AC46</f>
        <v>0</v>
      </c>
      <c r="T19" s="1398">
        <f>SUM(T14:T18)</f>
        <v>4108</v>
      </c>
      <c r="U19" s="1398">
        <f>SUM(U14:U18)</f>
        <v>4108</v>
      </c>
      <c r="V19" s="1578">
        <f>U19/T19%</f>
        <v>100</v>
      </c>
      <c r="W19" s="1573">
        <f t="shared" si="0"/>
        <v>436438</v>
      </c>
      <c r="X19" s="1570">
        <f t="shared" si="1"/>
        <v>316342</v>
      </c>
      <c r="Y19" s="1574">
        <f t="shared" si="2"/>
        <v>263261</v>
      </c>
      <c r="Z19" s="1574">
        <f t="shared" si="2"/>
        <v>149617</v>
      </c>
      <c r="AA19" s="1575">
        <f t="shared" si="15"/>
        <v>56.83219314672511</v>
      </c>
      <c r="AB19" s="1573">
        <f t="shared" si="4"/>
        <v>436438</v>
      </c>
      <c r="AC19" s="1570">
        <f t="shared" si="5"/>
        <v>316342</v>
      </c>
      <c r="AD19" s="1574">
        <f t="shared" si="6"/>
        <v>263261</v>
      </c>
      <c r="AE19" s="1574">
        <f t="shared" si="6"/>
        <v>149617</v>
      </c>
      <c r="AF19" s="1578">
        <f t="shared" si="16"/>
        <v>56.83219314672511</v>
      </c>
      <c r="AG19" s="623"/>
    </row>
    <row r="20" spans="1:37" s="7" customFormat="1" ht="28.5" customHeight="1" x14ac:dyDescent="0.3">
      <c r="A20" s="1560" t="s">
        <v>521</v>
      </c>
      <c r="B20" s="1555" t="s">
        <v>324</v>
      </c>
      <c r="C20" s="885">
        <f t="shared" ref="C20:J20" si="19">C19+C14+C13+C12+C11</f>
        <v>899876.94440000004</v>
      </c>
      <c r="D20" s="1579">
        <f t="shared" si="19"/>
        <v>578252.70799999998</v>
      </c>
      <c r="E20" s="1580">
        <f t="shared" si="19"/>
        <v>583704.70799999998</v>
      </c>
      <c r="F20" s="1580">
        <f t="shared" ref="F20" si="20">F19+F14+F13+F12+F11</f>
        <v>422055</v>
      </c>
      <c r="G20" s="1581">
        <f t="shared" si="8"/>
        <v>72.306252496424946</v>
      </c>
      <c r="H20" s="1582">
        <f t="shared" si="19"/>
        <v>305779</v>
      </c>
      <c r="I20" s="1579">
        <f t="shared" si="19"/>
        <v>545878.35600000003</v>
      </c>
      <c r="J20" s="1580">
        <f t="shared" si="19"/>
        <v>544903.35600000003</v>
      </c>
      <c r="K20" s="1580">
        <f t="shared" ref="K20" si="21">K19+K14+K13+K12+K11</f>
        <v>480000</v>
      </c>
      <c r="L20" s="1581">
        <f t="shared" ref="L20:L21" si="22">K20/J20%</f>
        <v>88.089015183088719</v>
      </c>
      <c r="M20" s="1582">
        <f>M11+M12+M13+M14+M19</f>
        <v>262972</v>
      </c>
      <c r="N20" s="1579">
        <f>N11+N12+N13+N14+N19</f>
        <v>270415</v>
      </c>
      <c r="O20" s="1580">
        <f>O11+O12+O13+O14+O19</f>
        <v>317054</v>
      </c>
      <c r="P20" s="1580">
        <f>P11+P12+P13+P14+P19</f>
        <v>297067</v>
      </c>
      <c r="Q20" s="1583">
        <f t="shared" ref="Q20:Q21" si="23">P20/O20%</f>
        <v>93.696026544374149</v>
      </c>
      <c r="R20" s="1582">
        <f t="shared" ref="R20:AB20" si="24">R11+R12+R13+R14+R19</f>
        <v>508968</v>
      </c>
      <c r="S20" s="1579">
        <f>S11+S12+S13+S14+S19</f>
        <v>515860</v>
      </c>
      <c r="T20" s="1580">
        <f>T11+T12+T13+T14+T15</f>
        <v>534107</v>
      </c>
      <c r="U20" s="1580">
        <f>U11+U12+U13+U14+U15</f>
        <v>499912</v>
      </c>
      <c r="V20" s="1583">
        <f t="shared" ref="V20:V21" si="25">U20/T20%</f>
        <v>93.597724800461336</v>
      </c>
      <c r="W20" s="1582">
        <f t="shared" si="24"/>
        <v>1977595.9443999999</v>
      </c>
      <c r="X20" s="1579">
        <f t="shared" ref="X20" si="26">X11+X12+X13+X14+X19</f>
        <v>1910406.064</v>
      </c>
      <c r="Y20" s="1580">
        <f>Y11+Y12+Y13+Y14+Y19+1</f>
        <v>1979770.064</v>
      </c>
      <c r="Z20" s="1580">
        <f>Z11+Z12+Z13+Z14+Z19+1</f>
        <v>1699035</v>
      </c>
      <c r="AA20" s="1581">
        <f t="shared" si="15"/>
        <v>85.81981467924652</v>
      </c>
      <c r="AB20" s="1582">
        <f t="shared" si="24"/>
        <v>1977595.9443999999</v>
      </c>
      <c r="AC20" s="1579">
        <f t="shared" ref="AC20" si="27">AC11+AC12+AC13+AC14+AC19</f>
        <v>1910406.064</v>
      </c>
      <c r="AD20" s="1580">
        <f>AD11+AD12+AD13+AD14+AD19+1</f>
        <v>1979770.064</v>
      </c>
      <c r="AE20" s="1580">
        <f>AE11+AE12+AE13+AE14+AE19+1</f>
        <v>1699035</v>
      </c>
      <c r="AF20" s="1583">
        <f t="shared" si="16"/>
        <v>85.81981467924652</v>
      </c>
      <c r="AG20" s="623"/>
    </row>
    <row r="21" spans="1:37" s="1304" customFormat="1" ht="28.5" customHeight="1" x14ac:dyDescent="0.3">
      <c r="A21" s="1559" t="s">
        <v>303</v>
      </c>
      <c r="B21" s="1556" t="s">
        <v>446</v>
      </c>
      <c r="C21" s="884">
        <f>'20. Beruházás (K6)'!C71</f>
        <v>243350</v>
      </c>
      <c r="D21" s="1570">
        <f>'20. Beruházás (K6)'!D71</f>
        <v>265664</v>
      </c>
      <c r="E21" s="1574">
        <f>'20. Beruházás (K6)'!E71</f>
        <v>300269</v>
      </c>
      <c r="F21" s="1574">
        <f>'20. Beruházás (K6)'!F71</f>
        <v>234643</v>
      </c>
      <c r="G21" s="1575">
        <f t="shared" si="8"/>
        <v>78.144263976634278</v>
      </c>
      <c r="H21" s="1573">
        <f>'20. Beruházás (K6)'!H71</f>
        <v>7500</v>
      </c>
      <c r="I21" s="1570">
        <f>'20. Beruházás (K6)'!I71</f>
        <v>11660</v>
      </c>
      <c r="J21" s="1574">
        <f>'20. Beruházás (K6)'!J71</f>
        <v>20557</v>
      </c>
      <c r="K21" s="1574">
        <f>'20. Beruházás (K6)'!K71</f>
        <v>15582.15</v>
      </c>
      <c r="L21" s="1575">
        <f t="shared" si="22"/>
        <v>75.799727586710119</v>
      </c>
      <c r="M21" s="1573">
        <v>1778</v>
      </c>
      <c r="N21" s="1570">
        <v>635</v>
      </c>
      <c r="O21" s="1574">
        <f>635+2770+969+388+355+578</f>
        <v>5695</v>
      </c>
      <c r="P21" s="1574">
        <v>5691</v>
      </c>
      <c r="Q21" s="1578">
        <f t="shared" si="23"/>
        <v>99.9297629499561</v>
      </c>
      <c r="R21" s="1573">
        <f>'3. Gesz költségvetés'!AB48</f>
        <v>3363</v>
      </c>
      <c r="S21" s="1570">
        <f>'3. Gesz költségvetés'!AC48</f>
        <v>2973</v>
      </c>
      <c r="T21" s="1574">
        <f>'3. Gesz költségvetés'!AD48</f>
        <v>7922</v>
      </c>
      <c r="U21" s="1574">
        <f>'3. Gesz költségvetés'!AE48</f>
        <v>7817</v>
      </c>
      <c r="V21" s="1578">
        <f t="shared" si="25"/>
        <v>98.67457712698814</v>
      </c>
      <c r="W21" s="1573">
        <f t="shared" ref="W21:Z25" si="28">C21+H21+M21+R21</f>
        <v>255991</v>
      </c>
      <c r="X21" s="1570">
        <f t="shared" si="28"/>
        <v>280932</v>
      </c>
      <c r="Y21" s="1574">
        <f t="shared" si="28"/>
        <v>334443</v>
      </c>
      <c r="Z21" s="1574">
        <f t="shared" si="28"/>
        <v>263733.15000000002</v>
      </c>
      <c r="AA21" s="1575">
        <f t="shared" si="15"/>
        <v>78.857428620123613</v>
      </c>
      <c r="AB21" s="1573">
        <f t="shared" ref="AB21:AE25" si="29">C21+H21+M21+R21</f>
        <v>255991</v>
      </c>
      <c r="AC21" s="1570">
        <f t="shared" si="29"/>
        <v>280932</v>
      </c>
      <c r="AD21" s="1574">
        <f t="shared" si="29"/>
        <v>334443</v>
      </c>
      <c r="AE21" s="1574">
        <f t="shared" si="29"/>
        <v>263733.15000000002</v>
      </c>
      <c r="AF21" s="1578">
        <f t="shared" si="16"/>
        <v>78.857428620123613</v>
      </c>
      <c r="AG21" s="1303"/>
    </row>
    <row r="22" spans="1:37" s="7" customFormat="1" ht="28.5" customHeight="1" x14ac:dyDescent="0.3">
      <c r="A22" s="1559" t="s">
        <v>304</v>
      </c>
      <c r="B22" s="1450" t="s">
        <v>305</v>
      </c>
      <c r="C22" s="884">
        <f>'21. Felújítás (K7)'!C38</f>
        <v>10560</v>
      </c>
      <c r="D22" s="1570">
        <f>'21. Felújítás (K7)'!D38</f>
        <v>26619</v>
      </c>
      <c r="E22" s="1574">
        <f>'21. Felújítás (K7)'!E38</f>
        <v>129254</v>
      </c>
      <c r="F22" s="1574">
        <f>'21. Felújítás (K7)'!F38</f>
        <v>92943</v>
      </c>
      <c r="G22" s="1575">
        <f t="shared" si="8"/>
        <v>71.907252386773337</v>
      </c>
      <c r="H22" s="1573">
        <f>'21. Felújítás (K7)'!H38</f>
        <v>0</v>
      </c>
      <c r="I22" s="1570">
        <f>'21. Felújítás (K7)'!I38</f>
        <v>0</v>
      </c>
      <c r="J22" s="1574">
        <f>'21. Felújítás (K7)'!J38</f>
        <v>0</v>
      </c>
      <c r="K22" s="1574">
        <f>'21. Felújítás (K7)'!K38</f>
        <v>0</v>
      </c>
      <c r="L22" s="1575"/>
      <c r="M22" s="1573">
        <v>0</v>
      </c>
      <c r="N22" s="1570">
        <v>0</v>
      </c>
      <c r="O22" s="1574">
        <v>0</v>
      </c>
      <c r="P22" s="1574">
        <v>0</v>
      </c>
      <c r="Q22" s="1576"/>
      <c r="R22" s="1573">
        <f>'3. Gesz költségvetés'!AB49</f>
        <v>0</v>
      </c>
      <c r="S22" s="1570">
        <f>'3. Gesz költségvetés'!AC49</f>
        <v>0</v>
      </c>
      <c r="T22" s="1574">
        <f>'3. Gesz költségvetés'!AD49</f>
        <v>0</v>
      </c>
      <c r="U22" s="1574">
        <f>'3. Gesz költségvetés'!AE49</f>
        <v>0</v>
      </c>
      <c r="V22" s="1576"/>
      <c r="W22" s="1573">
        <f t="shared" si="28"/>
        <v>10560</v>
      </c>
      <c r="X22" s="1570">
        <f t="shared" si="28"/>
        <v>26619</v>
      </c>
      <c r="Y22" s="1574">
        <f t="shared" si="28"/>
        <v>129254</v>
      </c>
      <c r="Z22" s="1574">
        <f t="shared" si="28"/>
        <v>92943</v>
      </c>
      <c r="AA22" s="1575">
        <f t="shared" si="15"/>
        <v>71.907252386773337</v>
      </c>
      <c r="AB22" s="1573">
        <f t="shared" si="29"/>
        <v>10560</v>
      </c>
      <c r="AC22" s="1570">
        <f t="shared" si="29"/>
        <v>26619</v>
      </c>
      <c r="AD22" s="1574">
        <f t="shared" si="29"/>
        <v>129254</v>
      </c>
      <c r="AE22" s="1574">
        <f t="shared" si="29"/>
        <v>92943</v>
      </c>
      <c r="AF22" s="1578">
        <f t="shared" si="16"/>
        <v>71.907252386773337</v>
      </c>
      <c r="AG22" s="623"/>
    </row>
    <row r="23" spans="1:37" s="7" customFormat="1" ht="36" customHeight="1" x14ac:dyDescent="0.35">
      <c r="A23" s="1558" t="s">
        <v>251</v>
      </c>
      <c r="B23" s="1447" t="s">
        <v>674</v>
      </c>
      <c r="C23" s="883">
        <f>'18. Pe. átad. és tám. (K5)'!D39</f>
        <v>0</v>
      </c>
      <c r="D23" s="1565">
        <f>'18. Pe. átad. és tám. (K5)'!E39</f>
        <v>0</v>
      </c>
      <c r="E23" s="1566">
        <f>'18. Pe. átad. és tám. (K5)'!F39</f>
        <v>0</v>
      </c>
      <c r="F23" s="1566">
        <f>'18. Pe. átad. és tám. (K5)'!G39</f>
        <v>0</v>
      </c>
      <c r="G23" s="1567"/>
      <c r="H23" s="1568"/>
      <c r="I23" s="1565"/>
      <c r="J23" s="1566"/>
      <c r="K23" s="1566"/>
      <c r="L23" s="1567"/>
      <c r="M23" s="1568"/>
      <c r="N23" s="1565"/>
      <c r="O23" s="1566"/>
      <c r="P23" s="1566"/>
      <c r="Q23" s="1577"/>
      <c r="R23" s="1568">
        <v>0</v>
      </c>
      <c r="S23" s="1565">
        <v>0</v>
      </c>
      <c r="T23" s="1566">
        <v>0</v>
      </c>
      <c r="U23" s="1566">
        <v>0</v>
      </c>
      <c r="V23" s="1577"/>
      <c r="W23" s="1568">
        <f t="shared" si="28"/>
        <v>0</v>
      </c>
      <c r="X23" s="1565">
        <f t="shared" si="28"/>
        <v>0</v>
      </c>
      <c r="Y23" s="1566">
        <f t="shared" si="28"/>
        <v>0</v>
      </c>
      <c r="Z23" s="1566">
        <f t="shared" si="28"/>
        <v>0</v>
      </c>
      <c r="AA23" s="1567"/>
      <c r="AB23" s="1568">
        <f t="shared" si="29"/>
        <v>0</v>
      </c>
      <c r="AC23" s="1565">
        <f t="shared" si="29"/>
        <v>0</v>
      </c>
      <c r="AD23" s="1566">
        <f t="shared" si="29"/>
        <v>0</v>
      </c>
      <c r="AE23" s="1566">
        <f t="shared" si="29"/>
        <v>0</v>
      </c>
      <c r="AF23" s="1569"/>
      <c r="AG23" s="623"/>
    </row>
    <row r="24" spans="1:37" s="7" customFormat="1" ht="40.5" customHeight="1" x14ac:dyDescent="0.35">
      <c r="A24" s="1558" t="s">
        <v>869</v>
      </c>
      <c r="B24" s="864" t="s">
        <v>870</v>
      </c>
      <c r="C24" s="883">
        <v>0</v>
      </c>
      <c r="D24" s="1565">
        <f>'18. Pe. átad. és tám. (K5)'!E42</f>
        <v>0</v>
      </c>
      <c r="E24" s="1566">
        <f>'18. Pe. átad. és tám. (K5)'!F42</f>
        <v>0</v>
      </c>
      <c r="F24" s="1566">
        <f>'18. Pe. átad. és tám. (K5)'!G42</f>
        <v>0</v>
      </c>
      <c r="G24" s="1567"/>
      <c r="H24" s="1568"/>
      <c r="I24" s="1565"/>
      <c r="J24" s="1566"/>
      <c r="K24" s="1566"/>
      <c r="L24" s="1567"/>
      <c r="M24" s="1568"/>
      <c r="N24" s="1565"/>
      <c r="O24" s="1566"/>
      <c r="P24" s="1566"/>
      <c r="Q24" s="1577"/>
      <c r="R24" s="1568">
        <v>0</v>
      </c>
      <c r="S24" s="1565">
        <v>0</v>
      </c>
      <c r="T24" s="1566">
        <v>0</v>
      </c>
      <c r="U24" s="1566">
        <v>0</v>
      </c>
      <c r="V24" s="1577"/>
      <c r="W24" s="1568">
        <f t="shared" si="28"/>
        <v>0</v>
      </c>
      <c r="X24" s="1565">
        <f t="shared" si="28"/>
        <v>0</v>
      </c>
      <c r="Y24" s="1566">
        <f t="shared" si="28"/>
        <v>0</v>
      </c>
      <c r="Z24" s="1566">
        <f t="shared" si="28"/>
        <v>0</v>
      </c>
      <c r="AA24" s="1567"/>
      <c r="AB24" s="1568">
        <f t="shared" si="29"/>
        <v>0</v>
      </c>
      <c r="AC24" s="1565">
        <f t="shared" si="29"/>
        <v>0</v>
      </c>
      <c r="AD24" s="1566">
        <f t="shared" si="29"/>
        <v>0</v>
      </c>
      <c r="AE24" s="1566">
        <f t="shared" si="29"/>
        <v>0</v>
      </c>
      <c r="AF24" s="1569"/>
      <c r="AG24" s="623"/>
    </row>
    <row r="25" spans="1:37" s="7" customFormat="1" ht="28.5" customHeight="1" x14ac:dyDescent="0.3">
      <c r="A25" s="1559" t="s">
        <v>308</v>
      </c>
      <c r="B25" s="1450" t="s">
        <v>309</v>
      </c>
      <c r="C25" s="884">
        <f>'18. Pe. átad. és tám. (K5)'!D40</f>
        <v>0</v>
      </c>
      <c r="D25" s="1570">
        <f>'18. Pe. átad. és tám. (K5)'!E43</f>
        <v>0</v>
      </c>
      <c r="E25" s="1574">
        <f>'18. Pe. átad. és tám. (K5)'!F43</f>
        <v>0</v>
      </c>
      <c r="F25" s="1574">
        <f>'18. Pe. átad. és tám. (K5)'!G43</f>
        <v>0</v>
      </c>
      <c r="G25" s="1575"/>
      <c r="H25" s="1573"/>
      <c r="I25" s="1570"/>
      <c r="J25" s="1574"/>
      <c r="K25" s="1574"/>
      <c r="L25" s="1575"/>
      <c r="M25" s="1573"/>
      <c r="N25" s="1570"/>
      <c r="O25" s="1574"/>
      <c r="P25" s="1574"/>
      <c r="Q25" s="1576"/>
      <c r="R25" s="1573">
        <f>'3. Gesz költségvetés'!AB50</f>
        <v>0</v>
      </c>
      <c r="S25" s="1570">
        <f>'3. Gesz költségvetés'!AC50</f>
        <v>0</v>
      </c>
      <c r="T25" s="1574">
        <f>'3. Gesz költségvetés'!AD50</f>
        <v>0</v>
      </c>
      <c r="U25" s="1574">
        <f>'3. Gesz költségvetés'!AE50</f>
        <v>0</v>
      </c>
      <c r="V25" s="1576"/>
      <c r="W25" s="1573">
        <f t="shared" si="28"/>
        <v>0</v>
      </c>
      <c r="X25" s="1570">
        <f t="shared" si="28"/>
        <v>0</v>
      </c>
      <c r="Y25" s="1574">
        <f t="shared" si="28"/>
        <v>0</v>
      </c>
      <c r="Z25" s="1574">
        <f t="shared" si="28"/>
        <v>0</v>
      </c>
      <c r="AA25" s="1575"/>
      <c r="AB25" s="1573">
        <f t="shared" si="29"/>
        <v>0</v>
      </c>
      <c r="AC25" s="1570">
        <f t="shared" si="29"/>
        <v>0</v>
      </c>
      <c r="AD25" s="1574">
        <f t="shared" si="29"/>
        <v>0</v>
      </c>
      <c r="AE25" s="1574">
        <f t="shared" si="29"/>
        <v>0</v>
      </c>
      <c r="AF25" s="1578"/>
      <c r="AG25" s="623"/>
    </row>
    <row r="26" spans="1:37" s="7" customFormat="1" ht="28.5" customHeight="1" x14ac:dyDescent="0.3">
      <c r="A26" s="1561" t="s">
        <v>669</v>
      </c>
      <c r="B26" s="1555" t="s">
        <v>325</v>
      </c>
      <c r="C26" s="885">
        <f t="shared" ref="C26:J26" si="30">C21+C22+C25</f>
        <v>253910</v>
      </c>
      <c r="D26" s="1579">
        <f t="shared" si="30"/>
        <v>292283</v>
      </c>
      <c r="E26" s="1580">
        <f t="shared" si="30"/>
        <v>429523</v>
      </c>
      <c r="F26" s="1580">
        <f t="shared" ref="F26" si="31">F21+F22+F25</f>
        <v>327586</v>
      </c>
      <c r="G26" s="1581">
        <f t="shared" si="8"/>
        <v>76.267394295532497</v>
      </c>
      <c r="H26" s="1582">
        <f t="shared" si="30"/>
        <v>7500</v>
      </c>
      <c r="I26" s="1579">
        <f t="shared" si="30"/>
        <v>11660</v>
      </c>
      <c r="J26" s="1580">
        <f t="shared" si="30"/>
        <v>20557</v>
      </c>
      <c r="K26" s="1580">
        <f t="shared" ref="K26" si="32">K21+K22+K25</f>
        <v>15582.15</v>
      </c>
      <c r="L26" s="1581">
        <f>K26/J26%</f>
        <v>75.799727586710119</v>
      </c>
      <c r="M26" s="1582">
        <f t="shared" ref="M26" si="33">SUM(M21:M25)</f>
        <v>1778</v>
      </c>
      <c r="N26" s="1579">
        <f t="shared" ref="N26:O26" si="34">SUM(N21:N25)</f>
        <v>635</v>
      </c>
      <c r="O26" s="1580">
        <f t="shared" si="34"/>
        <v>5695</v>
      </c>
      <c r="P26" s="1580">
        <f t="shared" ref="P26" si="35">SUM(P21:P25)</f>
        <v>5691</v>
      </c>
      <c r="Q26" s="1583">
        <f t="shared" ref="Q26:Q27" si="36">P26/O26%</f>
        <v>99.9297629499561</v>
      </c>
      <c r="R26" s="1582">
        <f>SUM(R21:R25)</f>
        <v>3363</v>
      </c>
      <c r="S26" s="1579">
        <f>SUM(S21:S25)</f>
        <v>2973</v>
      </c>
      <c r="T26" s="1580">
        <f>SUM(T21:T25)</f>
        <v>7922</v>
      </c>
      <c r="U26" s="1580">
        <f>SUM(U21:U25)</f>
        <v>7817</v>
      </c>
      <c r="V26" s="1583">
        <f t="shared" ref="V26:V27" si="37">U26/T26%</f>
        <v>98.67457712698814</v>
      </c>
      <c r="W26" s="1582">
        <f>SUM(W21:W25)</f>
        <v>266551</v>
      </c>
      <c r="X26" s="1579">
        <f>SUM(X21:X24)</f>
        <v>307551</v>
      </c>
      <c r="Y26" s="1580">
        <f>SUM(Y21:Y24)</f>
        <v>463697</v>
      </c>
      <c r="Z26" s="1580">
        <f>SUM(Z21:Z24)</f>
        <v>356676.15</v>
      </c>
      <c r="AA26" s="1581">
        <f t="shared" si="15"/>
        <v>76.920090058809961</v>
      </c>
      <c r="AB26" s="1582">
        <f>SUM(AB21:AB25)</f>
        <v>266551</v>
      </c>
      <c r="AC26" s="1579">
        <f>SUM(AC21:AC24)</f>
        <v>307551</v>
      </c>
      <c r="AD26" s="1580">
        <f>SUM(AD21:AD24)</f>
        <v>463697</v>
      </c>
      <c r="AE26" s="1580">
        <f>SUM(AE21:AE24)</f>
        <v>356676.15</v>
      </c>
      <c r="AF26" s="1583">
        <f t="shared" si="16"/>
        <v>76.920090058809961</v>
      </c>
      <c r="AG26" s="623"/>
    </row>
    <row r="27" spans="1:37" s="7" customFormat="1" ht="28.5" customHeight="1" x14ac:dyDescent="0.3">
      <c r="A27" s="1562" t="s">
        <v>310</v>
      </c>
      <c r="B27" s="1276" t="s">
        <v>311</v>
      </c>
      <c r="C27" s="886">
        <f t="shared" ref="C27:N27" si="38">C20+C26</f>
        <v>1153786.9443999999</v>
      </c>
      <c r="D27" s="1584">
        <f t="shared" si="38"/>
        <v>870535.70799999998</v>
      </c>
      <c r="E27" s="1585">
        <f t="shared" ref="E27:F27" si="39">E20+E26</f>
        <v>1013227.708</v>
      </c>
      <c r="F27" s="1585">
        <f t="shared" si="39"/>
        <v>749641</v>
      </c>
      <c r="G27" s="1586">
        <f t="shared" si="8"/>
        <v>73.98544217466268</v>
      </c>
      <c r="H27" s="1587">
        <f t="shared" si="38"/>
        <v>313279</v>
      </c>
      <c r="I27" s="1584">
        <f>I20+I26</f>
        <v>557538.35600000003</v>
      </c>
      <c r="J27" s="1585">
        <f>J20+J26</f>
        <v>565460.35600000003</v>
      </c>
      <c r="K27" s="1585">
        <f>K20+K26</f>
        <v>495582.15</v>
      </c>
      <c r="L27" s="1586">
        <f>K27/J27%</f>
        <v>87.642244896828799</v>
      </c>
      <c r="M27" s="1587">
        <f t="shared" si="38"/>
        <v>264750</v>
      </c>
      <c r="N27" s="1584">
        <f t="shared" si="38"/>
        <v>271050</v>
      </c>
      <c r="O27" s="1585">
        <f t="shared" ref="O27:P27" si="40">O20+O26</f>
        <v>322749</v>
      </c>
      <c r="P27" s="1585">
        <f t="shared" si="40"/>
        <v>302758</v>
      </c>
      <c r="Q27" s="1588">
        <f t="shared" si="36"/>
        <v>93.806022636785869</v>
      </c>
      <c r="R27" s="1587">
        <f t="shared" ref="R27:AB27" si="41">R20+R26</f>
        <v>512331</v>
      </c>
      <c r="S27" s="1584">
        <f t="shared" ref="S27:T27" si="42">S20+S26</f>
        <v>518833</v>
      </c>
      <c r="T27" s="1585">
        <f t="shared" si="42"/>
        <v>542029</v>
      </c>
      <c r="U27" s="1585">
        <f t="shared" ref="U27" si="43">U20+U26</f>
        <v>507729</v>
      </c>
      <c r="V27" s="1588">
        <f t="shared" si="37"/>
        <v>93.671925302889704</v>
      </c>
      <c r="W27" s="1587">
        <f t="shared" si="41"/>
        <v>2244146.9443999999</v>
      </c>
      <c r="X27" s="1584">
        <f>X20+X26</f>
        <v>2217957.0640000002</v>
      </c>
      <c r="Y27" s="1585">
        <f>Y20+Y26</f>
        <v>2443467.0640000002</v>
      </c>
      <c r="Z27" s="1585">
        <f>Z20+Z26</f>
        <v>2055711.15</v>
      </c>
      <c r="AA27" s="1586">
        <f t="shared" si="15"/>
        <v>84.130913008287621</v>
      </c>
      <c r="AB27" s="1587">
        <f t="shared" si="41"/>
        <v>2244146.9443999999</v>
      </c>
      <c r="AC27" s="1584">
        <f t="shared" ref="AC27:AD27" si="44">AC20+AC26</f>
        <v>2217957.0640000002</v>
      </c>
      <c r="AD27" s="1585">
        <f t="shared" si="44"/>
        <v>2443467.0640000002</v>
      </c>
      <c r="AE27" s="1585">
        <f t="shared" ref="AE27" si="45">AE20+AE26</f>
        <v>2055711.15</v>
      </c>
      <c r="AF27" s="1588">
        <f t="shared" si="16"/>
        <v>84.130913008287621</v>
      </c>
      <c r="AG27" s="623"/>
    </row>
    <row r="28" spans="1:37" s="662" customFormat="1" ht="40.5" x14ac:dyDescent="0.35">
      <c r="A28" s="1563"/>
      <c r="B28" s="1275" t="s">
        <v>88</v>
      </c>
      <c r="C28" s="883">
        <f>'15. finanszírozás be_ki (B8,K9)'!D30</f>
        <v>1320</v>
      </c>
      <c r="D28" s="1565">
        <f>'15. finanszírozás be_ki (B8,K9)'!E27</f>
        <v>1320</v>
      </c>
      <c r="E28" s="1566">
        <f>'15. finanszírozás be_ki (B8,K9)'!F27</f>
        <v>1320</v>
      </c>
      <c r="F28" s="1566">
        <f>'15. finanszírozás be_ki (B8,K9)'!G27</f>
        <v>1320</v>
      </c>
      <c r="G28" s="1567">
        <f t="shared" si="8"/>
        <v>100</v>
      </c>
      <c r="H28" s="1568"/>
      <c r="I28" s="1565"/>
      <c r="J28" s="1566"/>
      <c r="K28" s="1566"/>
      <c r="L28" s="1567"/>
      <c r="M28" s="1568"/>
      <c r="N28" s="1565"/>
      <c r="O28" s="1566"/>
      <c r="P28" s="1566"/>
      <c r="Q28" s="1577"/>
      <c r="R28" s="1568"/>
      <c r="S28" s="1565"/>
      <c r="T28" s="1566"/>
      <c r="U28" s="1566"/>
      <c r="V28" s="1577"/>
      <c r="W28" s="1568">
        <f>C28+H28+M28+R28</f>
        <v>1320</v>
      </c>
      <c r="X28" s="1565">
        <f>D28+I28+N28+S28</f>
        <v>1320</v>
      </c>
      <c r="Y28" s="1566">
        <f>E28+J28+O28+T28</f>
        <v>1320</v>
      </c>
      <c r="Z28" s="1566">
        <f>F28+K28+P28+U28</f>
        <v>1320</v>
      </c>
      <c r="AA28" s="1567">
        <f t="shared" si="15"/>
        <v>100</v>
      </c>
      <c r="AB28" s="1568">
        <f>C28+H28+M28+R28</f>
        <v>1320</v>
      </c>
      <c r="AC28" s="1565">
        <f>D28+I28+N28+S28</f>
        <v>1320</v>
      </c>
      <c r="AD28" s="1566">
        <f>E28+J28+O28+T28</f>
        <v>1320</v>
      </c>
      <c r="AE28" s="1566">
        <f>F28+K28+P28+U28</f>
        <v>1320</v>
      </c>
      <c r="AF28" s="1569">
        <f t="shared" si="16"/>
        <v>100</v>
      </c>
      <c r="AG28" s="623"/>
    </row>
    <row r="29" spans="1:37" s="7" customFormat="1" ht="40.5" x14ac:dyDescent="0.35">
      <c r="A29" s="1563"/>
      <c r="B29" s="1275" t="s">
        <v>341</v>
      </c>
      <c r="C29" s="883">
        <f>'15. finanszírozás be_ki (B8,K9)'!D28</f>
        <v>0</v>
      </c>
      <c r="D29" s="1589">
        <f>'15. finanszírozás be_ki (B8,K9)'!E28</f>
        <v>0</v>
      </c>
      <c r="E29" s="1590">
        <f>'15. finanszírozás be_ki (B8,K9)'!F28</f>
        <v>0</v>
      </c>
      <c r="F29" s="1590">
        <f>'15. finanszírozás be_ki (B8,K9)'!G28</f>
        <v>0</v>
      </c>
      <c r="G29" s="1591"/>
      <c r="H29" s="1568"/>
      <c r="I29" s="1589"/>
      <c r="J29" s="1590"/>
      <c r="K29" s="1590"/>
      <c r="L29" s="1591"/>
      <c r="M29" s="1568"/>
      <c r="N29" s="1589"/>
      <c r="O29" s="1590"/>
      <c r="P29" s="1590"/>
      <c r="Q29" s="1592"/>
      <c r="R29" s="1568"/>
      <c r="S29" s="1589"/>
      <c r="T29" s="1590"/>
      <c r="U29" s="1590"/>
      <c r="V29" s="1592"/>
      <c r="W29" s="1568">
        <f t="shared" ref="W29" si="46">C29+H29+M29+R29</f>
        <v>0</v>
      </c>
      <c r="X29" s="1589">
        <f t="shared" ref="X29:Z30" si="47">D29+I29+N29+S29</f>
        <v>0</v>
      </c>
      <c r="Y29" s="1590">
        <f t="shared" si="47"/>
        <v>0</v>
      </c>
      <c r="Z29" s="1590">
        <f t="shared" si="47"/>
        <v>0</v>
      </c>
      <c r="AA29" s="1591"/>
      <c r="AB29" s="1568">
        <f t="shared" ref="AB29" si="48">C29+H29+M29+R29</f>
        <v>0</v>
      </c>
      <c r="AC29" s="1589">
        <f t="shared" ref="AC29:AE30" si="49">D29+I29+N29+S29</f>
        <v>0</v>
      </c>
      <c r="AD29" s="1590">
        <f t="shared" si="49"/>
        <v>0</v>
      </c>
      <c r="AE29" s="1590">
        <f t="shared" si="49"/>
        <v>0</v>
      </c>
      <c r="AF29" s="1712"/>
      <c r="AG29" s="623"/>
      <c r="AH29" s="269"/>
      <c r="AI29" s="269"/>
      <c r="AJ29" s="278"/>
      <c r="AK29" s="278"/>
    </row>
    <row r="30" spans="1:37" s="7" customFormat="1" ht="28.5" customHeight="1" x14ac:dyDescent="0.3">
      <c r="A30" s="1563" t="s">
        <v>312</v>
      </c>
      <c r="B30" s="1450" t="s">
        <v>313</v>
      </c>
      <c r="C30" s="887">
        <f>SUM(C28:C29)</f>
        <v>1320</v>
      </c>
      <c r="D30" s="1593">
        <f>SUM(D28:D29)</f>
        <v>1320</v>
      </c>
      <c r="E30" s="1571">
        <f>SUM(E28:E29)</f>
        <v>1320</v>
      </c>
      <c r="F30" s="1571">
        <f>SUM(F28:F29)</f>
        <v>1320</v>
      </c>
      <c r="G30" s="1572">
        <f t="shared" si="8"/>
        <v>100</v>
      </c>
      <c r="H30" s="1594"/>
      <c r="I30" s="1593"/>
      <c r="J30" s="1571"/>
      <c r="K30" s="1571"/>
      <c r="L30" s="1572"/>
      <c r="M30" s="1594"/>
      <c r="N30" s="1593"/>
      <c r="O30" s="1571"/>
      <c r="P30" s="1571"/>
      <c r="Q30" s="1595"/>
      <c r="R30" s="1594"/>
      <c r="S30" s="1593"/>
      <c r="T30" s="1571"/>
      <c r="U30" s="1571"/>
      <c r="V30" s="1595"/>
      <c r="W30" s="1594">
        <f>C30+H30+M30+R30</f>
        <v>1320</v>
      </c>
      <c r="X30" s="1593">
        <f t="shared" si="47"/>
        <v>1320</v>
      </c>
      <c r="Y30" s="1571">
        <f t="shared" si="47"/>
        <v>1320</v>
      </c>
      <c r="Z30" s="1571">
        <f t="shared" si="47"/>
        <v>1320</v>
      </c>
      <c r="AA30" s="1572">
        <f t="shared" si="15"/>
        <v>100</v>
      </c>
      <c r="AB30" s="1594">
        <f>C30+H30+M30+R30</f>
        <v>1320</v>
      </c>
      <c r="AC30" s="1593">
        <f t="shared" si="49"/>
        <v>1320</v>
      </c>
      <c r="AD30" s="1571">
        <f t="shared" si="49"/>
        <v>1320</v>
      </c>
      <c r="AE30" s="1571">
        <f t="shared" si="49"/>
        <v>1320</v>
      </c>
      <c r="AF30" s="1711">
        <f t="shared" si="16"/>
        <v>100</v>
      </c>
      <c r="AG30" s="623"/>
      <c r="AH30" s="269"/>
      <c r="AI30" s="269"/>
      <c r="AJ30" s="278"/>
      <c r="AK30" s="278"/>
    </row>
    <row r="31" spans="1:37" s="7" customFormat="1" ht="28.5" customHeight="1" x14ac:dyDescent="0.3">
      <c r="A31" s="1563" t="s">
        <v>314</v>
      </c>
      <c r="B31" s="1450" t="str">
        <f>'15. finanszírozás be_ki (B8,K9)'!C31</f>
        <v xml:space="preserve">Belföldi értékpapírok kiadásai </v>
      </c>
      <c r="C31" s="887"/>
      <c r="D31" s="1593"/>
      <c r="E31" s="1571">
        <f>'15. finanszírozás be_ki (B8,K9)'!F31</f>
        <v>350000</v>
      </c>
      <c r="F31" s="1571">
        <f>'15. finanszírozás be_ki (B8,K9)'!G31</f>
        <v>350000</v>
      </c>
      <c r="G31" s="1572">
        <f t="shared" si="8"/>
        <v>100</v>
      </c>
      <c r="H31" s="1594"/>
      <c r="I31" s="1593"/>
      <c r="J31" s="1571"/>
      <c r="K31" s="1571"/>
      <c r="L31" s="1572"/>
      <c r="M31" s="1594"/>
      <c r="N31" s="1593"/>
      <c r="O31" s="1571"/>
      <c r="P31" s="1571"/>
      <c r="Q31" s="1595"/>
      <c r="R31" s="1594"/>
      <c r="S31" s="1593"/>
      <c r="T31" s="1571"/>
      <c r="U31" s="1571"/>
      <c r="V31" s="1595"/>
      <c r="W31" s="1594"/>
      <c r="X31" s="1593">
        <f t="shared" ref="X31" si="50">D31+I31+N31+S31</f>
        <v>0</v>
      </c>
      <c r="Y31" s="1571">
        <f t="shared" ref="Y31:Z31" si="51">E31+J31+O31+T31</f>
        <v>350000</v>
      </c>
      <c r="Z31" s="1571">
        <f t="shared" si="51"/>
        <v>350000</v>
      </c>
      <c r="AA31" s="1572">
        <f t="shared" si="15"/>
        <v>100</v>
      </c>
      <c r="AB31" s="1594">
        <f t="shared" ref="AB31" si="52">C31+H31+M31+R31</f>
        <v>0</v>
      </c>
      <c r="AC31" s="1593">
        <f t="shared" ref="AC31" si="53">D31+I31+N31+S31</f>
        <v>0</v>
      </c>
      <c r="AD31" s="1571">
        <f t="shared" ref="AD31:AE31" si="54">E31+J31+O31+T31</f>
        <v>350000</v>
      </c>
      <c r="AE31" s="1571">
        <f t="shared" si="54"/>
        <v>350000</v>
      </c>
      <c r="AF31" s="1711">
        <f t="shared" si="16"/>
        <v>100</v>
      </c>
      <c r="AG31" s="623"/>
      <c r="AH31" s="269"/>
      <c r="AI31" s="269"/>
      <c r="AJ31" s="278"/>
      <c r="AK31" s="278"/>
    </row>
    <row r="32" spans="1:37" s="7" customFormat="1" ht="28.5" customHeight="1" x14ac:dyDescent="0.3">
      <c r="A32" s="1563" t="s">
        <v>730</v>
      </c>
      <c r="B32" s="1450" t="s">
        <v>833</v>
      </c>
      <c r="C32" s="887"/>
      <c r="D32" s="1593">
        <f>'15. finanszírozás be_ki (B8,K9)'!E32</f>
        <v>20599</v>
      </c>
      <c r="E32" s="1571">
        <f>'15. finanszírozás be_ki (B8,K9)'!F32</f>
        <v>20599</v>
      </c>
      <c r="F32" s="1571">
        <f>'15. finanszírozás be_ki (B8,K9)'!G32</f>
        <v>19955</v>
      </c>
      <c r="G32" s="1572">
        <f t="shared" si="8"/>
        <v>96.87363464245837</v>
      </c>
      <c r="H32" s="1594"/>
      <c r="I32" s="1593"/>
      <c r="J32" s="1571"/>
      <c r="K32" s="1571"/>
      <c r="L32" s="1572"/>
      <c r="M32" s="1594"/>
      <c r="N32" s="1593"/>
      <c r="O32" s="1571"/>
      <c r="P32" s="1571"/>
      <c r="Q32" s="1595"/>
      <c r="R32" s="1594"/>
      <c r="S32" s="1593"/>
      <c r="T32" s="1571"/>
      <c r="U32" s="1571"/>
      <c r="V32" s="1595"/>
      <c r="W32" s="1594">
        <f t="shared" ref="W32:Z33" si="55">C32+H32+M32+R32</f>
        <v>0</v>
      </c>
      <c r="X32" s="1593">
        <f t="shared" si="55"/>
        <v>20599</v>
      </c>
      <c r="Y32" s="1571">
        <f t="shared" si="55"/>
        <v>20599</v>
      </c>
      <c r="Z32" s="1571">
        <f t="shared" si="55"/>
        <v>19955</v>
      </c>
      <c r="AA32" s="1572">
        <f t="shared" si="15"/>
        <v>96.87363464245837</v>
      </c>
      <c r="AB32" s="1594">
        <f>C32+H32+M32+R32</f>
        <v>0</v>
      </c>
      <c r="AC32" s="1593">
        <f>D32+I32+N32+S32</f>
        <v>20599</v>
      </c>
      <c r="AD32" s="1571">
        <f>E32+J32+O32+T32</f>
        <v>20599</v>
      </c>
      <c r="AE32" s="1571">
        <f>F32+K32+P32+U32</f>
        <v>19955</v>
      </c>
      <c r="AF32" s="1711">
        <f t="shared" si="16"/>
        <v>96.87363464245837</v>
      </c>
      <c r="AG32" s="623"/>
      <c r="AH32" s="269"/>
      <c r="AI32" s="269"/>
      <c r="AJ32" s="278"/>
      <c r="AK32" s="278"/>
    </row>
    <row r="33" spans="1:37" s="7" customFormat="1" ht="28.5" customHeight="1" x14ac:dyDescent="0.3">
      <c r="A33" s="1563" t="s">
        <v>326</v>
      </c>
      <c r="B33" s="1556" t="s">
        <v>87</v>
      </c>
      <c r="C33" s="887">
        <f>'3. Gesz költségvetés'!AB33+'2.Bevételek_részletes'!H46</f>
        <v>779616</v>
      </c>
      <c r="D33" s="1593">
        <f>'3. Gesz költségvetés'!AC33+'2.Bevételek_részletes'!I46+'2.Bevételek_részletes'!N46</f>
        <v>930476.98200000008</v>
      </c>
      <c r="E33" s="1571">
        <f>'3. Gesz költségvetés'!AD33+'2.Bevételek_részletes'!J46+'2.Bevételek_részletes'!O46</f>
        <v>944005.98200000008</v>
      </c>
      <c r="F33" s="1571">
        <f>'15. finanszírozás be_ki (B8,K9)'!G33</f>
        <v>853673</v>
      </c>
      <c r="G33" s="1572">
        <f t="shared" si="8"/>
        <v>90.430888816126156</v>
      </c>
      <c r="H33" s="1594"/>
      <c r="I33" s="1593"/>
      <c r="J33" s="1571"/>
      <c r="K33" s="1571"/>
      <c r="L33" s="1572"/>
      <c r="M33" s="1594"/>
      <c r="N33" s="1593"/>
      <c r="O33" s="1571"/>
      <c r="P33" s="1571"/>
      <c r="Q33" s="1595"/>
      <c r="R33" s="1594"/>
      <c r="S33" s="1593"/>
      <c r="T33" s="1571"/>
      <c r="U33" s="1571"/>
      <c r="V33" s="1595"/>
      <c r="W33" s="1594">
        <f t="shared" si="55"/>
        <v>779616</v>
      </c>
      <c r="X33" s="1593">
        <f t="shared" si="55"/>
        <v>930476.98200000008</v>
      </c>
      <c r="Y33" s="1571">
        <f t="shared" si="55"/>
        <v>944005.98200000008</v>
      </c>
      <c r="Z33" s="1571">
        <f t="shared" si="55"/>
        <v>853673</v>
      </c>
      <c r="AA33" s="1572">
        <f t="shared" si="15"/>
        <v>90.430888816126156</v>
      </c>
      <c r="AB33" s="1594"/>
      <c r="AC33" s="1593"/>
      <c r="AD33" s="1571"/>
      <c r="AE33" s="1571"/>
      <c r="AF33" s="1711"/>
      <c r="AG33" s="623"/>
      <c r="AH33" s="273"/>
      <c r="AI33" s="273"/>
      <c r="AJ33" s="278"/>
      <c r="AK33" s="278"/>
    </row>
    <row r="34" spans="1:37" s="7" customFormat="1" ht="28.5" customHeight="1" x14ac:dyDescent="0.3">
      <c r="A34" s="1563" t="s">
        <v>316</v>
      </c>
      <c r="B34" s="1556" t="s">
        <v>317</v>
      </c>
      <c r="C34" s="887">
        <f>C30+C33</f>
        <v>780936</v>
      </c>
      <c r="D34" s="1593">
        <f>D30+D33+D32</f>
        <v>952395.98200000008</v>
      </c>
      <c r="E34" s="1571">
        <f>E30+E33+E32+E31</f>
        <v>1315924.9820000001</v>
      </c>
      <c r="F34" s="1571">
        <f>F30+F33+F32+F31</f>
        <v>1224948</v>
      </c>
      <c r="G34" s="1572">
        <f t="shared" si="8"/>
        <v>93.08646136790189</v>
      </c>
      <c r="H34" s="1594">
        <f t="shared" ref="H34:R34" si="56">H30+H33</f>
        <v>0</v>
      </c>
      <c r="I34" s="1593">
        <f t="shared" si="56"/>
        <v>0</v>
      </c>
      <c r="J34" s="1571">
        <f t="shared" ref="J34:K34" si="57">J30+J33</f>
        <v>0</v>
      </c>
      <c r="K34" s="1571">
        <f t="shared" si="57"/>
        <v>0</v>
      </c>
      <c r="L34" s="1572"/>
      <c r="M34" s="1594">
        <f t="shared" si="56"/>
        <v>0</v>
      </c>
      <c r="N34" s="1593">
        <f t="shared" si="56"/>
        <v>0</v>
      </c>
      <c r="O34" s="1571">
        <f t="shared" ref="O34:P34" si="58">O30+O33</f>
        <v>0</v>
      </c>
      <c r="P34" s="1571">
        <f t="shared" si="58"/>
        <v>0</v>
      </c>
      <c r="Q34" s="1595"/>
      <c r="R34" s="1594">
        <f t="shared" si="56"/>
        <v>0</v>
      </c>
      <c r="S34" s="1593">
        <f t="shared" ref="S34:T34" si="59">S30+S33</f>
        <v>0</v>
      </c>
      <c r="T34" s="1571">
        <f t="shared" si="59"/>
        <v>0</v>
      </c>
      <c r="U34" s="1571">
        <f t="shared" ref="U34" si="60">U30+U33</f>
        <v>0</v>
      </c>
      <c r="V34" s="1595"/>
      <c r="W34" s="1594">
        <f>W30+W33+W32</f>
        <v>780936</v>
      </c>
      <c r="X34" s="1593">
        <f>X30+X33+X32</f>
        <v>952395.98200000008</v>
      </c>
      <c r="Y34" s="1571">
        <f>Y30+Y33+Y32+Y31</f>
        <v>1315924.9820000001</v>
      </c>
      <c r="Z34" s="1571">
        <f>Z30+Z33+Z32+Z31</f>
        <v>1224948</v>
      </c>
      <c r="AA34" s="1572">
        <f>Z34/Y34%</f>
        <v>93.08646136790189</v>
      </c>
      <c r="AB34" s="1594">
        <f t="shared" ref="AB34" si="61">AB30+AB33+AB32</f>
        <v>1320</v>
      </c>
      <c r="AC34" s="1593">
        <f>AC30+AC33+AC32</f>
        <v>21919</v>
      </c>
      <c r="AD34" s="1571">
        <f>AD30+AD33+AD32+AD31</f>
        <v>371919</v>
      </c>
      <c r="AE34" s="1571">
        <f>AE30+AE33+AE32+AE31</f>
        <v>371275</v>
      </c>
      <c r="AF34" s="1711">
        <f>AE34/AD34%</f>
        <v>99.826844017111256</v>
      </c>
      <c r="AG34" s="623"/>
      <c r="AH34" s="283"/>
      <c r="AI34" s="283"/>
      <c r="AJ34" s="278"/>
      <c r="AK34" s="278"/>
    </row>
    <row r="35" spans="1:37" s="7" customFormat="1" ht="28.5" customHeight="1" thickBot="1" x14ac:dyDescent="0.35">
      <c r="A35" s="1564"/>
      <c r="B35" s="1557" t="s">
        <v>670</v>
      </c>
      <c r="C35" s="892">
        <f>C34+C27</f>
        <v>1934722.9443999999</v>
      </c>
      <c r="D35" s="1298">
        <f>D34+D27</f>
        <v>1822931.69</v>
      </c>
      <c r="E35" s="1299">
        <f>E34+E27</f>
        <v>2329152.69</v>
      </c>
      <c r="F35" s="1299">
        <f>F34+F27</f>
        <v>1974589</v>
      </c>
      <c r="G35" s="1300">
        <f t="shared" si="8"/>
        <v>84.777138419379455</v>
      </c>
      <c r="H35" s="1301">
        <f t="shared" ref="H35:AC35" si="62">H27+H34</f>
        <v>313279</v>
      </c>
      <c r="I35" s="1298">
        <f t="shared" si="62"/>
        <v>557538.35600000003</v>
      </c>
      <c r="J35" s="1299">
        <f t="shared" ref="J35:K35" si="63">J27+J34</f>
        <v>565460.35600000003</v>
      </c>
      <c r="K35" s="1299">
        <f t="shared" si="63"/>
        <v>495582.15</v>
      </c>
      <c r="L35" s="1300">
        <f>K35/J35%</f>
        <v>87.642244896828799</v>
      </c>
      <c r="M35" s="1301">
        <f t="shared" si="62"/>
        <v>264750</v>
      </c>
      <c r="N35" s="1298">
        <f t="shared" si="62"/>
        <v>271050</v>
      </c>
      <c r="O35" s="1299">
        <f t="shared" ref="O35:P35" si="64">O27+O34</f>
        <v>322749</v>
      </c>
      <c r="P35" s="1299">
        <f t="shared" si="64"/>
        <v>302758</v>
      </c>
      <c r="Q35" s="1596">
        <f t="shared" ref="Q35" si="65">P35/O35%</f>
        <v>93.806022636785869</v>
      </c>
      <c r="R35" s="1301">
        <f t="shared" si="62"/>
        <v>512331</v>
      </c>
      <c r="S35" s="1298">
        <f t="shared" si="62"/>
        <v>518833</v>
      </c>
      <c r="T35" s="1299">
        <f t="shared" ref="T35:U35" si="66">T27+T34</f>
        <v>542029</v>
      </c>
      <c r="U35" s="1299">
        <f t="shared" si="66"/>
        <v>507729</v>
      </c>
      <c r="V35" s="1596">
        <f t="shared" ref="V35" si="67">U35/T35%</f>
        <v>93.671925302889704</v>
      </c>
      <c r="W35" s="1301">
        <f t="shared" si="62"/>
        <v>3025082.9443999999</v>
      </c>
      <c r="X35" s="1298">
        <f t="shared" si="62"/>
        <v>3170353.0460000001</v>
      </c>
      <c r="Y35" s="1299">
        <f t="shared" ref="Y35" si="68">Y27+Y34</f>
        <v>3759392.0460000001</v>
      </c>
      <c r="Z35" s="1299">
        <f>Z27+Z34</f>
        <v>3280659.15</v>
      </c>
      <c r="AA35" s="1300">
        <f>Z35/Y35%</f>
        <v>87.265683117317522</v>
      </c>
      <c r="AB35" s="1301">
        <f t="shared" si="62"/>
        <v>2245466.9443999999</v>
      </c>
      <c r="AC35" s="1298">
        <f t="shared" si="62"/>
        <v>2239876.0640000002</v>
      </c>
      <c r="AD35" s="1299">
        <f>AD27+AD34</f>
        <v>2815386.0640000002</v>
      </c>
      <c r="AE35" s="1299">
        <f>AE27+AE34</f>
        <v>2426986.15</v>
      </c>
      <c r="AF35" s="1596">
        <f>AE35/AD35%</f>
        <v>86.204381737679853</v>
      </c>
      <c r="AG35" s="623"/>
      <c r="AH35" s="278"/>
      <c r="AI35" s="278"/>
      <c r="AJ35" s="278"/>
      <c r="AK35" s="278"/>
    </row>
    <row r="36" spans="1:37" x14ac:dyDescent="0.25">
      <c r="A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row>
    <row r="37" spans="1:37" x14ac:dyDescent="0.25">
      <c r="A37" s="48"/>
      <c r="C37" s="48"/>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48"/>
      <c r="AH37" s="48"/>
      <c r="AI37" s="48"/>
      <c r="AJ37" s="48"/>
      <c r="AK37" s="48"/>
    </row>
    <row r="38" spans="1:37" ht="29.25" customHeight="1" x14ac:dyDescent="0.25">
      <c r="A38" s="48"/>
      <c r="C38" s="48"/>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48"/>
      <c r="AH38" s="48"/>
      <c r="AI38" s="48"/>
      <c r="AJ38" s="48"/>
      <c r="AK38" s="48"/>
    </row>
    <row r="39" spans="1:37" ht="18.75" x14ac:dyDescent="0.3">
      <c r="A39" s="48"/>
      <c r="B39" s="254"/>
      <c r="C39" s="90"/>
      <c r="D39" s="90"/>
      <c r="E39" s="90"/>
      <c r="F39" s="90"/>
      <c r="G39" s="90"/>
      <c r="H39" s="48"/>
      <c r="I39" s="48"/>
      <c r="J39" s="48"/>
      <c r="K39" s="48"/>
      <c r="L39" s="48"/>
      <c r="M39" s="48"/>
      <c r="N39" s="48"/>
      <c r="O39" s="48"/>
      <c r="P39" s="48"/>
      <c r="Q39" s="48"/>
      <c r="R39" s="48"/>
      <c r="S39" s="48"/>
      <c r="T39" s="48"/>
      <c r="U39" s="90"/>
      <c r="V39" s="48"/>
      <c r="W39" s="48"/>
      <c r="X39" s="90"/>
      <c r="Y39" s="90"/>
      <c r="Z39" s="90"/>
      <c r="AA39" s="90"/>
      <c r="AB39" s="48"/>
      <c r="AC39" s="90"/>
      <c r="AD39" s="90"/>
      <c r="AE39" s="90"/>
      <c r="AF39" s="90"/>
      <c r="AG39" s="48"/>
      <c r="AH39" s="48"/>
      <c r="AI39" s="48"/>
      <c r="AJ39" s="48"/>
      <c r="AK39" s="48"/>
    </row>
    <row r="40" spans="1:37" ht="18.75" x14ac:dyDescent="0.3">
      <c r="A40" s="48"/>
      <c r="B40" s="254"/>
      <c r="C40" s="90"/>
      <c r="D40" s="90"/>
      <c r="E40" s="90"/>
      <c r="F40" s="90"/>
      <c r="G40" s="90"/>
      <c r="H40" s="48"/>
      <c r="I40" s="48"/>
      <c r="J40" s="48"/>
      <c r="K40" s="48"/>
      <c r="L40" s="48"/>
      <c r="M40" s="48"/>
      <c r="N40" s="48"/>
      <c r="O40" s="48"/>
      <c r="P40" s="48"/>
      <c r="Q40" s="48"/>
      <c r="R40" s="48"/>
      <c r="S40" s="48"/>
      <c r="T40" s="48"/>
      <c r="U40" s="48"/>
      <c r="V40" s="48"/>
      <c r="W40" s="48"/>
      <c r="X40" s="90"/>
      <c r="Y40" s="90"/>
      <c r="Z40" s="90"/>
      <c r="AA40" s="90"/>
      <c r="AB40" s="48"/>
      <c r="AC40" s="90"/>
      <c r="AD40" s="90"/>
      <c r="AE40" s="90"/>
      <c r="AF40" s="90"/>
      <c r="AG40" s="48"/>
      <c r="AH40" s="48"/>
      <c r="AI40" s="48"/>
      <c r="AJ40" s="48"/>
      <c r="AK40" s="48"/>
    </row>
    <row r="41" spans="1:37" ht="18.75" x14ac:dyDescent="0.3">
      <c r="A41" s="48"/>
      <c r="B41" s="254"/>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row>
    <row r="42" spans="1:37" x14ac:dyDescent="0.25">
      <c r="A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row>
    <row r="43" spans="1:37" x14ac:dyDescent="0.25">
      <c r="A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row>
    <row r="44" spans="1:37" x14ac:dyDescent="0.25">
      <c r="A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row>
    <row r="45" spans="1:37" x14ac:dyDescent="0.25">
      <c r="A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row>
    <row r="46" spans="1:37" x14ac:dyDescent="0.25">
      <c r="A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row>
    <row r="47" spans="1:37" x14ac:dyDescent="0.25">
      <c r="A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row>
    <row r="48" spans="1:37" x14ac:dyDescent="0.25">
      <c r="A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row>
    <row r="49" spans="1:37" x14ac:dyDescent="0.25">
      <c r="A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row>
    <row r="50" spans="1:37" x14ac:dyDescent="0.25">
      <c r="A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row>
    <row r="51" spans="1:37" x14ac:dyDescent="0.25">
      <c r="A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row>
    <row r="52" spans="1:37" x14ac:dyDescent="0.25">
      <c r="A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row>
    <row r="53" spans="1:37" x14ac:dyDescent="0.25">
      <c r="A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row>
    <row r="54" spans="1:37" x14ac:dyDescent="0.25">
      <c r="A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row>
    <row r="55" spans="1:37" x14ac:dyDescent="0.25">
      <c r="A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row>
    <row r="56" spans="1:37" x14ac:dyDescent="0.25">
      <c r="A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row>
    <row r="57" spans="1:37" x14ac:dyDescent="0.25">
      <c r="A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row>
    <row r="58" spans="1:37" x14ac:dyDescent="0.25">
      <c r="A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row>
    <row r="59" spans="1:37" x14ac:dyDescent="0.25">
      <c r="A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row>
    <row r="60" spans="1:37" x14ac:dyDescent="0.25">
      <c r="A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row>
    <row r="61" spans="1:37" x14ac:dyDescent="0.25">
      <c r="A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row>
    <row r="62" spans="1:37" x14ac:dyDescent="0.25">
      <c r="A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row>
    <row r="63" spans="1:37" x14ac:dyDescent="0.25">
      <c r="A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row>
    <row r="64" spans="1:37" x14ac:dyDescent="0.25">
      <c r="A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row>
    <row r="65" spans="1:37" x14ac:dyDescent="0.25">
      <c r="A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row>
    <row r="66" spans="1:37" x14ac:dyDescent="0.25">
      <c r="A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row>
    <row r="67" spans="1:37" x14ac:dyDescent="0.25">
      <c r="A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row>
    <row r="68" spans="1:37" x14ac:dyDescent="0.25">
      <c r="A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row>
    <row r="69" spans="1:37" x14ac:dyDescent="0.25">
      <c r="A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row>
    <row r="70" spans="1:37" x14ac:dyDescent="0.25">
      <c r="A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row>
    <row r="71" spans="1:37" x14ac:dyDescent="0.25">
      <c r="A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row>
    <row r="72" spans="1:37" x14ac:dyDescent="0.25">
      <c r="A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row>
    <row r="73" spans="1:37" x14ac:dyDescent="0.25">
      <c r="A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row>
    <row r="74" spans="1:37" x14ac:dyDescent="0.25">
      <c r="A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row>
    <row r="75" spans="1:37" x14ac:dyDescent="0.25">
      <c r="A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row>
    <row r="76" spans="1:37" x14ac:dyDescent="0.25">
      <c r="A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row>
    <row r="77" spans="1:37" x14ac:dyDescent="0.25">
      <c r="A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row>
    <row r="78" spans="1:37" x14ac:dyDescent="0.25">
      <c r="A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row>
  </sheetData>
  <mergeCells count="9">
    <mergeCell ref="A1:AF1"/>
    <mergeCell ref="A3:AF3"/>
    <mergeCell ref="A4:AF4"/>
    <mergeCell ref="D7:G7"/>
    <mergeCell ref="I7:L7"/>
    <mergeCell ref="N7:Q7"/>
    <mergeCell ref="S7:V7"/>
    <mergeCell ref="X7:AA7"/>
    <mergeCell ref="AC7:AF7"/>
  </mergeCells>
  <phoneticPr fontId="62" type="noConversion"/>
  <pageMargins left="0.2" right="0.15" top="1" bottom="1" header="0.5" footer="0.5"/>
  <pageSetup paperSize="8" scale="45"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I34"/>
  <sheetViews>
    <sheetView view="pageBreakPreview" zoomScale="75" zoomScaleNormal="75" zoomScaleSheetLayoutView="75" workbookViewId="0">
      <selection activeCell="A2" sqref="A2:O2"/>
    </sheetView>
  </sheetViews>
  <sheetFormatPr defaultRowHeight="20.25" x14ac:dyDescent="0.3"/>
  <cols>
    <col min="1" max="1" width="61" style="703" customWidth="1"/>
    <col min="2" max="2" width="24.140625" style="704" customWidth="1"/>
    <col min="3" max="3" width="28.28515625" style="706" customWidth="1"/>
    <col min="4" max="4" width="103.7109375" style="739" customWidth="1"/>
    <col min="5" max="5" width="13.85546875" style="163" customWidth="1"/>
    <col min="6" max="6" width="14.85546875" style="163" customWidth="1"/>
    <col min="7" max="7" width="12.85546875" style="163" customWidth="1"/>
    <col min="8" max="8" width="13.5703125" style="163" customWidth="1"/>
    <col min="9" max="9" width="20.7109375" style="163" customWidth="1"/>
    <col min="10" max="10" width="18" style="163" customWidth="1"/>
    <col min="11" max="16384" width="9.140625" style="163"/>
  </cols>
  <sheetData>
    <row r="1" spans="1:9" ht="35.25" customHeight="1" x14ac:dyDescent="0.3">
      <c r="A1" s="2561" t="str">
        <f>'27. Mérleg'!A1:E1</f>
        <v>Pilisvörösvár Város Önkormányzata Képviselő-testületének 7/2018. (IV. 27.) önkormányzati rendelete</v>
      </c>
      <c r="B1" s="2561"/>
      <c r="C1" s="2561"/>
      <c r="D1" s="2561"/>
      <c r="E1" s="1916"/>
      <c r="F1" s="1916"/>
      <c r="G1" s="1916"/>
      <c r="H1" s="1916"/>
      <c r="I1" s="1916"/>
    </row>
    <row r="2" spans="1:9" ht="28.5" customHeight="1" x14ac:dyDescent="0.3">
      <c r="A2" s="2561" t="str">
        <f>'27. Mérleg'!A2:E2</f>
        <v>az Önkormányzat  2017. évi zárszámadásáról</v>
      </c>
      <c r="B2" s="2561"/>
      <c r="C2" s="2561"/>
      <c r="D2" s="2561"/>
      <c r="E2" s="858"/>
      <c r="F2" s="858"/>
      <c r="G2" s="858"/>
      <c r="H2" s="858"/>
      <c r="I2" s="858"/>
    </row>
    <row r="3" spans="1:9" ht="22.5" x14ac:dyDescent="0.3">
      <c r="A3" s="2561"/>
      <c r="B3" s="2561"/>
      <c r="C3" s="2561"/>
      <c r="D3" s="2561"/>
      <c r="E3" s="2561"/>
      <c r="F3" s="2561"/>
      <c r="G3" s="2561"/>
      <c r="H3" s="2561"/>
      <c r="I3" s="2561"/>
    </row>
    <row r="4" spans="1:9" ht="23.25" x14ac:dyDescent="0.35">
      <c r="A4" s="2562" t="str">
        <f>Tartalomjegyzék_2017!B36</f>
        <v>Pilisvörösvár Város Önkormányzata közvetett támogatásai</v>
      </c>
      <c r="B4" s="2562"/>
      <c r="C4" s="2562"/>
      <c r="D4" s="2562"/>
      <c r="E4" s="859"/>
      <c r="F4" s="859"/>
      <c r="G4" s="859"/>
      <c r="H4" s="859"/>
      <c r="I4" s="859"/>
    </row>
    <row r="5" spans="1:9" ht="23.25" customHeight="1" x14ac:dyDescent="0.35">
      <c r="C5" s="705"/>
      <c r="D5" s="849" t="s">
        <v>22</v>
      </c>
    </row>
    <row r="6" spans="1:9" ht="21.75" customHeight="1" thickBot="1" x14ac:dyDescent="0.35">
      <c r="D6" s="850" t="s">
        <v>323</v>
      </c>
    </row>
    <row r="7" spans="1:9" ht="81" customHeight="1" thickBot="1" x14ac:dyDescent="0.4">
      <c r="A7" s="300" t="s">
        <v>697</v>
      </c>
      <c r="B7" s="301" t="s">
        <v>624</v>
      </c>
      <c r="C7" s="1926" t="s">
        <v>625</v>
      </c>
      <c r="D7" s="303" t="s">
        <v>626</v>
      </c>
      <c r="F7" s="299"/>
    </row>
    <row r="8" spans="1:9" s="707" customFormat="1" ht="59.25" customHeight="1" x14ac:dyDescent="0.35">
      <c r="A8" s="798" t="s">
        <v>973</v>
      </c>
      <c r="B8" s="799"/>
      <c r="C8" s="800">
        <v>0</v>
      </c>
      <c r="D8" s="801" t="s">
        <v>698</v>
      </c>
      <c r="F8" s="708"/>
    </row>
    <row r="9" spans="1:9" s="707" customFormat="1" ht="105.75" customHeight="1" x14ac:dyDescent="0.35">
      <c r="A9" s="798" t="s">
        <v>974</v>
      </c>
      <c r="B9" s="799"/>
      <c r="C9" s="800">
        <v>695</v>
      </c>
      <c r="D9" s="802" t="s">
        <v>699</v>
      </c>
      <c r="F9" s="708"/>
    </row>
    <row r="10" spans="1:9" s="707" customFormat="1" ht="96" customHeight="1" x14ac:dyDescent="0.35">
      <c r="A10" s="798" t="s">
        <v>975</v>
      </c>
      <c r="B10" s="799"/>
      <c r="C10" s="800">
        <v>21</v>
      </c>
      <c r="D10" s="721" t="s">
        <v>953</v>
      </c>
      <c r="F10" s="708"/>
    </row>
    <row r="11" spans="1:9" s="707" customFormat="1" ht="67.5" customHeight="1" x14ac:dyDescent="0.3">
      <c r="A11" s="798" t="s">
        <v>1181</v>
      </c>
      <c r="B11" s="799"/>
      <c r="C11" s="800">
        <v>28965</v>
      </c>
      <c r="D11" s="721" t="s">
        <v>1182</v>
      </c>
    </row>
    <row r="12" spans="1:9" s="707" customFormat="1" ht="33.75" customHeight="1" x14ac:dyDescent="0.3">
      <c r="A12" s="803" t="s">
        <v>700</v>
      </c>
      <c r="B12" s="800">
        <f>85092+C12</f>
        <v>114773</v>
      </c>
      <c r="C12" s="800">
        <f>SUM(C8:C11)</f>
        <v>29681</v>
      </c>
      <c r="D12" s="725"/>
    </row>
    <row r="13" spans="1:9" s="709" customFormat="1" ht="40.5" x14ac:dyDescent="0.3">
      <c r="A13" s="804" t="s">
        <v>581</v>
      </c>
      <c r="B13" s="800">
        <f>55210+C13</f>
        <v>55210</v>
      </c>
      <c r="C13" s="800">
        <v>0</v>
      </c>
      <c r="D13" s="725" t="s">
        <v>1183</v>
      </c>
      <c r="E13" s="707"/>
      <c r="F13" s="707"/>
      <c r="G13" s="707"/>
      <c r="H13" s="707"/>
      <c r="I13" s="707"/>
    </row>
    <row r="14" spans="1:9" s="709" customFormat="1" ht="52.5" customHeight="1" x14ac:dyDescent="0.3">
      <c r="A14" s="804" t="s">
        <v>955</v>
      </c>
      <c r="B14" s="800">
        <f>537947+C14</f>
        <v>537947</v>
      </c>
      <c r="C14" s="800">
        <v>0</v>
      </c>
      <c r="D14" s="725" t="s">
        <v>1184</v>
      </c>
      <c r="E14" s="707"/>
      <c r="F14" s="707"/>
      <c r="G14" s="707"/>
      <c r="H14" s="707"/>
      <c r="I14" s="707"/>
    </row>
    <row r="15" spans="1:9" s="709" customFormat="1" ht="21" thickBot="1" x14ac:dyDescent="0.35">
      <c r="A15" s="712" t="s">
        <v>702</v>
      </c>
      <c r="B15" s="713" t="s">
        <v>1185</v>
      </c>
      <c r="C15" s="714">
        <f>C12+C13+C14</f>
        <v>29681</v>
      </c>
      <c r="D15" s="715"/>
      <c r="E15" s="707"/>
      <c r="F15" s="707"/>
      <c r="G15" s="707"/>
      <c r="H15" s="707"/>
      <c r="I15" s="707"/>
    </row>
    <row r="16" spans="1:9" ht="33.75" customHeight="1" thickBot="1" x14ac:dyDescent="0.35">
      <c r="A16" s="871"/>
      <c r="B16" s="872"/>
      <c r="C16" s="873"/>
      <c r="D16" s="874"/>
      <c r="E16" s="298"/>
      <c r="G16" s="298"/>
      <c r="H16" s="298"/>
      <c r="I16" s="298"/>
    </row>
    <row r="17" spans="1:6" ht="61.5" thickBot="1" x14ac:dyDescent="0.35">
      <c r="A17" s="300" t="s">
        <v>623</v>
      </c>
      <c r="B17" s="301" t="s">
        <v>624</v>
      </c>
      <c r="C17" s="302" t="s">
        <v>625</v>
      </c>
      <c r="D17" s="303" t="s">
        <v>626</v>
      </c>
    </row>
    <row r="18" spans="1:6" ht="41.25" customHeight="1" thickBot="1" x14ac:dyDescent="0.35">
      <c r="A18" s="712" t="s">
        <v>627</v>
      </c>
      <c r="B18" s="713">
        <v>0</v>
      </c>
      <c r="C18" s="714">
        <v>0</v>
      </c>
      <c r="D18" s="715"/>
    </row>
    <row r="19" spans="1:6" ht="33.75" customHeight="1" thickBot="1" x14ac:dyDescent="0.35">
      <c r="A19" s="871"/>
      <c r="B19" s="872"/>
      <c r="C19" s="873"/>
      <c r="D19" s="874"/>
    </row>
    <row r="20" spans="1:6" ht="72" customHeight="1" thickBot="1" x14ac:dyDescent="0.35">
      <c r="A20" s="300" t="s">
        <v>640</v>
      </c>
      <c r="B20" s="301" t="s">
        <v>624</v>
      </c>
      <c r="C20" s="302" t="s">
        <v>625</v>
      </c>
      <c r="D20" s="303" t="s">
        <v>626</v>
      </c>
    </row>
    <row r="21" spans="1:6" ht="33" customHeight="1" thickBot="1" x14ac:dyDescent="0.35">
      <c r="A21" s="712" t="s">
        <v>641</v>
      </c>
      <c r="B21" s="713">
        <v>0</v>
      </c>
      <c r="C21" s="714">
        <v>0</v>
      </c>
      <c r="D21" s="716"/>
    </row>
    <row r="22" spans="1:6" ht="33.75" customHeight="1" thickBot="1" x14ac:dyDescent="0.35">
      <c r="A22" s="871"/>
      <c r="B22" s="872"/>
      <c r="C22" s="873"/>
      <c r="D22" s="874"/>
    </row>
    <row r="23" spans="1:6" ht="61.5" thickBot="1" x14ac:dyDescent="0.35">
      <c r="A23" s="717" t="s">
        <v>642</v>
      </c>
      <c r="B23" s="301" t="s">
        <v>624</v>
      </c>
      <c r="C23" s="302" t="s">
        <v>643</v>
      </c>
      <c r="D23" s="303" t="s">
        <v>626</v>
      </c>
    </row>
    <row r="24" spans="1:6" ht="33.75" customHeight="1" x14ac:dyDescent="0.3">
      <c r="A24" s="718" t="s">
        <v>609</v>
      </c>
      <c r="B24" s="719"/>
      <c r="C24" s="720">
        <v>8</v>
      </c>
      <c r="D24" s="721" t="s">
        <v>644</v>
      </c>
    </row>
    <row r="25" spans="1:6" ht="33.75" customHeight="1" x14ac:dyDescent="0.3">
      <c r="A25" s="722" t="s">
        <v>94</v>
      </c>
      <c r="B25" s="723"/>
      <c r="C25" s="724">
        <v>4</v>
      </c>
      <c r="D25" s="725" t="s">
        <v>645</v>
      </c>
    </row>
    <row r="26" spans="1:6" ht="33.75" customHeight="1" x14ac:dyDescent="0.3">
      <c r="A26" s="726" t="s">
        <v>566</v>
      </c>
      <c r="B26" s="727"/>
      <c r="C26" s="728">
        <v>2710</v>
      </c>
      <c r="D26" s="729" t="s">
        <v>646</v>
      </c>
    </row>
    <row r="27" spans="1:6" ht="33.75" customHeight="1" x14ac:dyDescent="0.3">
      <c r="A27" s="726" t="s">
        <v>771</v>
      </c>
      <c r="B27" s="727"/>
      <c r="C27" s="728">
        <v>0</v>
      </c>
      <c r="D27" s="729"/>
    </row>
    <row r="28" spans="1:6" ht="32.25" customHeight="1" thickBot="1" x14ac:dyDescent="0.35">
      <c r="A28" s="712" t="s">
        <v>647</v>
      </c>
      <c r="B28" s="714">
        <f>SUM(B24:B27)</f>
        <v>0</v>
      </c>
      <c r="C28" s="714">
        <f>SUM(C24:C27)</f>
        <v>2722</v>
      </c>
      <c r="D28" s="716"/>
    </row>
    <row r="29" spans="1:6" ht="29.25" customHeight="1" thickBot="1" x14ac:dyDescent="0.35">
      <c r="A29" s="871"/>
      <c r="B29" s="872"/>
      <c r="C29" s="873"/>
      <c r="D29" s="874"/>
    </row>
    <row r="30" spans="1:6" ht="76.5" customHeight="1" thickBot="1" x14ac:dyDescent="0.35">
      <c r="A30" s="300" t="s">
        <v>648</v>
      </c>
      <c r="B30" s="301" t="s">
        <v>624</v>
      </c>
      <c r="C30" s="302" t="s">
        <v>625</v>
      </c>
      <c r="D30" s="303" t="s">
        <v>626</v>
      </c>
    </row>
    <row r="31" spans="1:6" ht="38.25" customHeight="1" thickBot="1" x14ac:dyDescent="0.35">
      <c r="A31" s="730" t="s">
        <v>649</v>
      </c>
      <c r="B31" s="731">
        <v>0</v>
      </c>
      <c r="C31" s="732">
        <v>0</v>
      </c>
      <c r="D31" s="733"/>
    </row>
    <row r="32" spans="1:6" ht="37.5" customHeight="1" thickBot="1" x14ac:dyDescent="0.35">
      <c r="A32" s="867" t="s">
        <v>456</v>
      </c>
      <c r="B32" s="868">
        <f>SUM(B18,B21,B28,B31)</f>
        <v>0</v>
      </c>
      <c r="C32" s="869">
        <f>C28+C15</f>
        <v>32403</v>
      </c>
      <c r="D32" s="870"/>
      <c r="F32" s="163">
        <f>C15/C32</f>
        <v>0.91599543252168014</v>
      </c>
    </row>
    <row r="33" spans="1:4" x14ac:dyDescent="0.3">
      <c r="A33" s="734"/>
      <c r="B33" s="735"/>
      <c r="C33" s="736"/>
      <c r="D33" s="737"/>
    </row>
    <row r="34" spans="1:4" x14ac:dyDescent="0.3">
      <c r="A34" s="738"/>
      <c r="B34" s="735"/>
      <c r="C34" s="736"/>
      <c r="D34" s="737"/>
    </row>
  </sheetData>
  <mergeCells count="4">
    <mergeCell ref="A1:D1"/>
    <mergeCell ref="A2:D2"/>
    <mergeCell ref="A3:I3"/>
    <mergeCell ref="A4:D4"/>
  </mergeCells>
  <hyperlinks>
    <hyperlink ref="D8" location="_ftn1" display="_ftn1" xr:uid="{00000000-0004-0000-2700-000000000000}"/>
  </hyperlinks>
  <printOptions horizontalCentered="1"/>
  <pageMargins left="0.25" right="0.25" top="0.75" bottom="0.75" header="0.3" footer="0.3"/>
  <pageSetup paperSize="9" scale="49" orientation="portrait" verticalDpi="30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7" tint="0.39997558519241921"/>
    <pageSetUpPr fitToPage="1"/>
  </sheetPr>
  <dimension ref="A1:H70"/>
  <sheetViews>
    <sheetView view="pageBreakPreview" zoomScale="80" zoomScaleSheetLayoutView="80" workbookViewId="0">
      <selection activeCell="A2" sqref="A2:O2"/>
    </sheetView>
  </sheetViews>
  <sheetFormatPr defaultColWidth="9.140625" defaultRowHeight="23.25" x14ac:dyDescent="0.35"/>
  <cols>
    <col min="1" max="1" width="119.42578125" style="2304" customWidth="1"/>
    <col min="2" max="2" width="23" style="2304" customWidth="1"/>
    <col min="3" max="3" width="21.140625" style="2358" customWidth="1"/>
    <col min="4" max="4" width="17.7109375" style="2304" customWidth="1"/>
    <col min="5" max="5" width="13.5703125" style="2304" customWidth="1"/>
    <col min="6" max="6" width="20.7109375" style="2304" customWidth="1"/>
    <col min="7" max="7" width="18" style="2304" customWidth="1"/>
    <col min="8" max="8" width="9.28515625" style="2304" bestFit="1" customWidth="1"/>
    <col min="9" max="16384" width="9.140625" style="2304"/>
  </cols>
  <sheetData>
    <row r="1" spans="1:8" ht="51.75" customHeight="1" x14ac:dyDescent="0.35">
      <c r="A1" s="2561" t="str">
        <f>'27. Mérleg'!A1:E1</f>
        <v>Pilisvörösvár Város Önkormányzata Képviselő-testületének 7/2018. (IV. 27.) önkormányzati rendelete</v>
      </c>
      <c r="B1" s="2561"/>
      <c r="C1" s="2561"/>
      <c r="D1" s="2561"/>
      <c r="E1" s="2303"/>
      <c r="F1" s="2303"/>
    </row>
    <row r="2" spans="1:8" ht="27.75" customHeight="1" x14ac:dyDescent="0.35">
      <c r="A2" s="2561" t="str">
        <f>'27. Mérleg'!A2:E2</f>
        <v>az Önkormányzat  2017. évi zárszámadásáról</v>
      </c>
      <c r="B2" s="2561"/>
      <c r="C2" s="2561"/>
      <c r="D2" s="2561"/>
      <c r="E2" s="2303"/>
      <c r="F2" s="2303"/>
    </row>
    <row r="3" spans="1:8" ht="57.75" customHeight="1" x14ac:dyDescent="0.35">
      <c r="A3" s="2616" t="str">
        <f>Tartalomjegyzék_2017!B37</f>
        <v>Az európai uniós forrásból finanszírozott támogatással megvalósuló programok, projektek kiadásai, bevételei, valamint a helyi önkormányzat ilyen projektekhez történő hozzájárulásai</v>
      </c>
      <c r="B3" s="2616"/>
      <c r="C3" s="2617"/>
      <c r="D3" s="2617"/>
    </row>
    <row r="4" spans="1:8" ht="46.5" customHeight="1" x14ac:dyDescent="0.35">
      <c r="A4" s="2305"/>
      <c r="B4" s="2305"/>
      <c r="C4" s="2306"/>
      <c r="D4" s="2307" t="s">
        <v>1588</v>
      </c>
    </row>
    <row r="5" spans="1:8" ht="27.75" customHeight="1" thickBot="1" x14ac:dyDescent="0.4">
      <c r="A5" s="2308" t="s">
        <v>1569</v>
      </c>
      <c r="B5" s="2305"/>
      <c r="C5" s="2306"/>
      <c r="D5" s="2309" t="s">
        <v>1570</v>
      </c>
    </row>
    <row r="6" spans="1:8" ht="45.75" customHeight="1" thickBot="1" x14ac:dyDescent="0.4">
      <c r="A6" s="2618" t="s">
        <v>1571</v>
      </c>
      <c r="B6" s="2619"/>
      <c r="C6" s="2619"/>
      <c r="D6" s="2620"/>
    </row>
    <row r="7" spans="1:8" s="854" customFormat="1" ht="33" customHeight="1" thickBot="1" x14ac:dyDescent="0.25">
      <c r="A7" s="2322" t="s">
        <v>64</v>
      </c>
      <c r="B7" s="2323" t="s">
        <v>1586</v>
      </c>
      <c r="C7" s="2323" t="s">
        <v>1572</v>
      </c>
      <c r="D7" s="2324" t="s">
        <v>444</v>
      </c>
      <c r="E7" s="2310"/>
      <c r="F7" s="2310"/>
      <c r="G7" s="2311"/>
      <c r="H7" s="2310"/>
    </row>
    <row r="8" spans="1:8" s="854" customFormat="1" ht="68.25" customHeight="1" thickBot="1" x14ac:dyDescent="0.25">
      <c r="A8" s="2338" t="s">
        <v>1591</v>
      </c>
      <c r="B8" s="2313"/>
      <c r="C8" s="2313">
        <v>9000</v>
      </c>
      <c r="D8" s="2314">
        <f>SUM(B8:C8)</f>
        <v>9000</v>
      </c>
      <c r="E8" s="2310"/>
      <c r="F8" s="2310"/>
      <c r="G8" s="2315"/>
      <c r="H8" s="2310"/>
    </row>
    <row r="9" spans="1:8" s="854" customFormat="1" ht="30.75" customHeight="1" x14ac:dyDescent="0.2">
      <c r="A9" s="2316" t="s">
        <v>1573</v>
      </c>
      <c r="B9" s="2313"/>
      <c r="C9" s="2313">
        <v>0</v>
      </c>
      <c r="D9" s="2314">
        <f>SUM(B9:C9)</f>
        <v>0</v>
      </c>
      <c r="E9" s="2310"/>
      <c r="F9" s="2310"/>
      <c r="G9" s="2311"/>
      <c r="H9" s="2310"/>
    </row>
    <row r="10" spans="1:8" s="854" customFormat="1" ht="34.5" customHeight="1" x14ac:dyDescent="0.2">
      <c r="A10" s="2312" t="s">
        <v>1574</v>
      </c>
      <c r="B10" s="2313"/>
      <c r="C10" s="2313">
        <v>0</v>
      </c>
      <c r="D10" s="2314">
        <f>SUM(B10:C10)</f>
        <v>0</v>
      </c>
      <c r="E10" s="2310"/>
      <c r="F10" s="2310"/>
      <c r="G10" s="2315"/>
      <c r="H10" s="2310"/>
    </row>
    <row r="11" spans="1:8" s="854" customFormat="1" ht="38.25" customHeight="1" thickBot="1" x14ac:dyDescent="0.25">
      <c r="A11" s="2317" t="s">
        <v>1575</v>
      </c>
      <c r="B11" s="2318"/>
      <c r="C11" s="2318">
        <f>SUM(C8:C10)</f>
        <v>9000</v>
      </c>
      <c r="D11" s="2319">
        <f>SUM(D8:D10)</f>
        <v>9000</v>
      </c>
      <c r="E11" s="2310"/>
      <c r="F11" s="2310"/>
      <c r="G11" s="2310"/>
      <c r="H11" s="2310"/>
    </row>
    <row r="12" spans="1:8" s="2321" customFormat="1" ht="27.75" customHeight="1" thickBot="1" x14ac:dyDescent="0.25">
      <c r="A12" s="2621"/>
      <c r="B12" s="2621"/>
      <c r="C12" s="2621"/>
      <c r="D12" s="2621"/>
      <c r="E12" s="2320"/>
      <c r="F12" s="2320"/>
      <c r="G12" s="2320"/>
      <c r="H12" s="2320"/>
    </row>
    <row r="13" spans="1:8" s="2321" customFormat="1" ht="37.5" customHeight="1" thickBot="1" x14ac:dyDescent="0.25">
      <c r="A13" s="2322" t="s">
        <v>65</v>
      </c>
      <c r="B13" s="2323" t="s">
        <v>1589</v>
      </c>
      <c r="C13" s="2323" t="s">
        <v>1576</v>
      </c>
      <c r="D13" s="2324" t="s">
        <v>444</v>
      </c>
      <c r="E13" s="2320"/>
      <c r="F13" s="2320"/>
      <c r="G13" s="2320"/>
      <c r="H13" s="2320"/>
    </row>
    <row r="14" spans="1:8" s="2321" customFormat="1" ht="37.5" customHeight="1" x14ac:dyDescent="0.2">
      <c r="A14" s="2325" t="s">
        <v>1577</v>
      </c>
      <c r="B14" s="2326"/>
      <c r="C14" s="2326"/>
      <c r="D14" s="2327"/>
      <c r="E14" s="2320"/>
      <c r="F14" s="2320"/>
      <c r="G14" s="2320"/>
      <c r="H14" s="2320"/>
    </row>
    <row r="15" spans="1:8" s="2321" customFormat="1" ht="37.5" customHeight="1" x14ac:dyDescent="0.2">
      <c r="A15" s="2325" t="s">
        <v>1578</v>
      </c>
      <c r="B15" s="2328"/>
      <c r="C15" s="2328">
        <v>71</v>
      </c>
      <c r="D15" s="2329">
        <f>SUM(B15:C15)</f>
        <v>71</v>
      </c>
      <c r="E15" s="2320"/>
      <c r="F15" s="2320"/>
      <c r="G15" s="2320"/>
      <c r="H15" s="2320"/>
    </row>
    <row r="16" spans="1:8" s="2321" customFormat="1" ht="37.5" customHeight="1" thickBot="1" x14ac:dyDescent="0.25">
      <c r="A16" s="2325" t="s">
        <v>1579</v>
      </c>
      <c r="B16" s="2330"/>
      <c r="C16" s="2330">
        <v>2160</v>
      </c>
      <c r="D16" s="2331">
        <f>SUM(B16:C16)</f>
        <v>2160</v>
      </c>
      <c r="E16" s="2332"/>
      <c r="F16" s="2320"/>
      <c r="G16" s="2320"/>
      <c r="H16" s="2320"/>
    </row>
    <row r="17" spans="1:8" s="2321" customFormat="1" ht="37.5" customHeight="1" thickBot="1" x14ac:dyDescent="0.25">
      <c r="A17" s="2322" t="s">
        <v>1580</v>
      </c>
      <c r="B17" s="2333"/>
      <c r="C17" s="2333">
        <f>SUM(C14:C16)</f>
        <v>2231</v>
      </c>
      <c r="D17" s="2334">
        <f>SUM(B17:C17)</f>
        <v>2231</v>
      </c>
      <c r="E17" s="2320"/>
      <c r="F17" s="2320"/>
      <c r="G17" s="2320"/>
      <c r="H17" s="2320"/>
    </row>
    <row r="18" spans="1:8" s="2321" customFormat="1" ht="37.5" customHeight="1" thickBot="1" x14ac:dyDescent="0.25">
      <c r="A18" s="2335"/>
      <c r="B18" s="2336"/>
      <c r="C18" s="2336"/>
      <c r="D18" s="2336"/>
      <c r="E18" s="2320"/>
      <c r="F18" s="2320"/>
      <c r="G18" s="2320"/>
      <c r="H18" s="2320"/>
    </row>
    <row r="19" spans="1:8" ht="27.75" customHeight="1" thickBot="1" x14ac:dyDescent="0.4">
      <c r="A19" s="2613" t="s">
        <v>1581</v>
      </c>
      <c r="B19" s="2614"/>
      <c r="C19" s="2614"/>
      <c r="D19" s="2615"/>
      <c r="E19" s="2337"/>
      <c r="F19" s="2337"/>
      <c r="G19" s="2337"/>
      <c r="H19" s="2337"/>
    </row>
    <row r="20" spans="1:8" s="2321" customFormat="1" ht="37.5" customHeight="1" thickBot="1" x14ac:dyDescent="0.25">
      <c r="A20" s="2322" t="s">
        <v>64</v>
      </c>
      <c r="B20" s="2323" t="s">
        <v>1589</v>
      </c>
      <c r="C20" s="2323" t="s">
        <v>1576</v>
      </c>
      <c r="D20" s="2324" t="s">
        <v>444</v>
      </c>
      <c r="E20" s="2320"/>
      <c r="F20" s="2320"/>
      <c r="G20" s="2320"/>
      <c r="H20" s="2320"/>
    </row>
    <row r="21" spans="1:8" s="2361" customFormat="1" ht="45.75" thickBot="1" x14ac:dyDescent="0.25">
      <c r="A21" s="2338" t="s">
        <v>1582</v>
      </c>
      <c r="B21" s="2359"/>
      <c r="C21" s="2363">
        <v>16700</v>
      </c>
      <c r="D21" s="2365">
        <f>SUM(B21:C21)</f>
        <v>16700</v>
      </c>
      <c r="E21" s="2360"/>
      <c r="F21" s="2360"/>
      <c r="G21" s="2360"/>
      <c r="H21" s="2360"/>
    </row>
    <row r="22" spans="1:8" ht="27.75" customHeight="1" x14ac:dyDescent="0.35">
      <c r="A22" s="2308"/>
      <c r="B22" s="2339"/>
      <c r="C22" s="2340"/>
      <c r="D22" s="2340"/>
      <c r="E22" s="2337"/>
      <c r="F22" s="2337"/>
      <c r="G22" s="2337"/>
      <c r="H22" s="2337"/>
    </row>
    <row r="23" spans="1:8" ht="27.75" customHeight="1" thickBot="1" x14ac:dyDescent="0.4">
      <c r="A23" s="2308"/>
      <c r="B23" s="2339"/>
      <c r="C23" s="2340"/>
      <c r="D23" s="2340"/>
      <c r="E23" s="2337"/>
      <c r="F23" s="2337"/>
      <c r="G23" s="2337"/>
      <c r="H23" s="2337"/>
    </row>
    <row r="24" spans="1:8" ht="27.75" customHeight="1" thickBot="1" x14ac:dyDescent="0.4">
      <c r="A24" s="2322" t="s">
        <v>65</v>
      </c>
      <c r="B24" s="2323" t="s">
        <v>1586</v>
      </c>
      <c r="C24" s="2323" t="s">
        <v>1572</v>
      </c>
      <c r="D24" s="2324" t="s">
        <v>444</v>
      </c>
      <c r="E24" s="2337"/>
      <c r="F24" s="2337"/>
      <c r="G24" s="2337"/>
      <c r="H24" s="2337"/>
    </row>
    <row r="25" spans="1:8" ht="27.75" customHeight="1" x14ac:dyDescent="0.35">
      <c r="A25" s="2325" t="s">
        <v>1577</v>
      </c>
      <c r="B25" s="2326"/>
      <c r="C25" s="2326"/>
      <c r="D25" s="2327">
        <f>SUM(B25:C25)</f>
        <v>0</v>
      </c>
      <c r="E25" s="2337"/>
      <c r="F25" s="2337"/>
      <c r="G25" s="2337"/>
      <c r="H25" s="2337"/>
    </row>
    <row r="26" spans="1:8" ht="27.75" customHeight="1" x14ac:dyDescent="0.35">
      <c r="A26" s="2325" t="s">
        <v>1578</v>
      </c>
      <c r="B26" s="2328"/>
      <c r="C26" s="2328">
        <v>213</v>
      </c>
      <c r="D26" s="2329">
        <f>SUM(B26:C26)</f>
        <v>213</v>
      </c>
      <c r="E26" s="2337"/>
      <c r="F26" s="2337"/>
      <c r="G26" s="2337"/>
      <c r="H26" s="2337"/>
    </row>
    <row r="27" spans="1:8" ht="27.75" customHeight="1" x14ac:dyDescent="0.35">
      <c r="A27" s="2316" t="s">
        <v>1579</v>
      </c>
      <c r="B27" s="2313"/>
      <c r="C27" s="2313">
        <v>3294</v>
      </c>
      <c r="D27" s="2314">
        <f>SUM(B27:C27)</f>
        <v>3294</v>
      </c>
      <c r="E27" s="2337"/>
      <c r="F27" s="2337"/>
      <c r="G27" s="2337"/>
      <c r="H27" s="2337"/>
    </row>
    <row r="28" spans="1:8" ht="45.75" thickBot="1" x14ac:dyDescent="0.4">
      <c r="A28" s="2341" t="s">
        <v>1583</v>
      </c>
      <c r="B28" s="2342"/>
      <c r="C28" s="2362">
        <f>SUM(C25:C27)</f>
        <v>3507</v>
      </c>
      <c r="D28" s="2343">
        <f>SUM(D25:D27)</f>
        <v>3507</v>
      </c>
      <c r="E28" s="2337"/>
      <c r="F28" s="2337"/>
      <c r="G28" s="2337"/>
      <c r="H28" s="2337"/>
    </row>
    <row r="29" spans="1:8" ht="27.75" customHeight="1" x14ac:dyDescent="0.35">
      <c r="A29" s="2344"/>
      <c r="B29" s="2344"/>
      <c r="C29" s="2344"/>
      <c r="D29" s="2344"/>
      <c r="E29" s="2337"/>
      <c r="F29" s="2337"/>
      <c r="G29" s="2337"/>
      <c r="H29" s="2337"/>
    </row>
    <row r="30" spans="1:8" ht="27.75" customHeight="1" thickBot="1" x14ac:dyDescent="0.4">
      <c r="A30" s="2345"/>
      <c r="B30" s="2345"/>
      <c r="C30" s="2345"/>
      <c r="D30" s="2345"/>
      <c r="E30" s="2337"/>
      <c r="F30" s="2337"/>
      <c r="G30" s="2337"/>
      <c r="H30" s="2337"/>
    </row>
    <row r="31" spans="1:8" ht="48.75" customHeight="1" thickBot="1" x14ac:dyDescent="0.4">
      <c r="A31" s="2613" t="s">
        <v>1584</v>
      </c>
      <c r="B31" s="2614"/>
      <c r="C31" s="2614"/>
      <c r="D31" s="2615"/>
      <c r="E31" s="2337"/>
      <c r="F31" s="2337"/>
      <c r="G31" s="2337"/>
      <c r="H31" s="2337"/>
    </row>
    <row r="32" spans="1:8" ht="33" customHeight="1" thickBot="1" x14ac:dyDescent="0.4">
      <c r="A32" s="2322" t="s">
        <v>64</v>
      </c>
      <c r="B32" s="2323" t="s">
        <v>1586</v>
      </c>
      <c r="C32" s="2323" t="s">
        <v>1572</v>
      </c>
      <c r="D32" s="2324" t="s">
        <v>444</v>
      </c>
      <c r="E32" s="2337"/>
      <c r="F32" s="2337"/>
      <c r="G32" s="2337"/>
      <c r="H32" s="2337"/>
    </row>
    <row r="33" spans="1:8" ht="60.75" customHeight="1" thickBot="1" x14ac:dyDescent="0.4">
      <c r="A33" s="2341" t="s">
        <v>1585</v>
      </c>
      <c r="B33" s="2346"/>
      <c r="C33" s="2346">
        <v>60590</v>
      </c>
      <c r="D33" s="2364">
        <f>SUM(B33:C33)</f>
        <v>60590</v>
      </c>
      <c r="E33" s="2337"/>
      <c r="F33" s="2337"/>
      <c r="G33" s="2337"/>
      <c r="H33" s="2337"/>
    </row>
    <row r="34" spans="1:8" ht="27.75" customHeight="1" thickBot="1" x14ac:dyDescent="0.4">
      <c r="A34" s="2305"/>
      <c r="B34" s="2305"/>
      <c r="C34" s="2306"/>
      <c r="D34" s="2347"/>
      <c r="E34" s="2337"/>
      <c r="F34" s="2337"/>
      <c r="G34" s="2337"/>
      <c r="H34" s="2337"/>
    </row>
    <row r="35" spans="1:8" ht="27.75" customHeight="1" thickBot="1" x14ac:dyDescent="0.4">
      <c r="A35" s="2322" t="s">
        <v>65</v>
      </c>
      <c r="B35" s="2323" t="s">
        <v>1586</v>
      </c>
      <c r="C35" s="2323" t="s">
        <v>1572</v>
      </c>
      <c r="D35" s="2348" t="s">
        <v>444</v>
      </c>
      <c r="E35" s="2337"/>
      <c r="F35" s="2337"/>
      <c r="G35" s="2337"/>
      <c r="H35" s="2337"/>
    </row>
    <row r="36" spans="1:8" ht="27.75" customHeight="1" x14ac:dyDescent="0.35">
      <c r="A36" s="2325" t="s">
        <v>1577</v>
      </c>
      <c r="B36" s="2326"/>
      <c r="C36" s="2326"/>
      <c r="D36" s="2349">
        <f>SUM(B36:C36)</f>
        <v>0</v>
      </c>
      <c r="E36" s="2337"/>
      <c r="F36" s="2337"/>
      <c r="G36" s="2337"/>
      <c r="H36" s="2337"/>
    </row>
    <row r="37" spans="1:8" ht="27.75" customHeight="1" x14ac:dyDescent="0.35">
      <c r="A37" s="2325" t="s">
        <v>1578</v>
      </c>
      <c r="B37" s="2328">
        <v>1451</v>
      </c>
      <c r="C37" s="2328">
        <v>1064</v>
      </c>
      <c r="D37" s="2350">
        <f>SUM(B37:C37)</f>
        <v>2515</v>
      </c>
      <c r="E37" s="2337"/>
      <c r="F37" s="2337"/>
      <c r="G37" s="2337"/>
      <c r="H37" s="2337"/>
    </row>
    <row r="38" spans="1:8" ht="27.75" customHeight="1" x14ac:dyDescent="0.35">
      <c r="A38" s="2316" t="s">
        <v>1579</v>
      </c>
      <c r="B38" s="2313">
        <v>0</v>
      </c>
      <c r="C38" s="2313">
        <v>60923</v>
      </c>
      <c r="D38" s="2351">
        <f>SUM(B38:C38)</f>
        <v>60923</v>
      </c>
      <c r="E38" s="2337"/>
      <c r="F38" s="2337"/>
      <c r="G38" s="2337"/>
      <c r="H38" s="2337"/>
    </row>
    <row r="39" spans="1:8" ht="45.75" thickBot="1" x14ac:dyDescent="0.4">
      <c r="A39" s="2341" t="s">
        <v>1587</v>
      </c>
      <c r="B39" s="2342">
        <f>SUM(B36:B38)</f>
        <v>1451</v>
      </c>
      <c r="C39" s="2342">
        <f>SUM(C37:C38)</f>
        <v>61987</v>
      </c>
      <c r="D39" s="2352">
        <f>SUM(D37:D38)</f>
        <v>63438</v>
      </c>
      <c r="E39" s="2337"/>
      <c r="F39" s="2337"/>
      <c r="G39" s="2337"/>
      <c r="H39" s="2337"/>
    </row>
    <row r="40" spans="1:8" ht="27.75" customHeight="1" x14ac:dyDescent="0.35">
      <c r="A40" s="2305"/>
      <c r="B40" s="2305"/>
      <c r="C40" s="2306"/>
      <c r="D40" s="2306"/>
      <c r="E40" s="2337"/>
      <c r="F40" s="2337"/>
      <c r="G40" s="2337"/>
      <c r="H40" s="2337"/>
    </row>
    <row r="41" spans="1:8" ht="27.75" customHeight="1" x14ac:dyDescent="0.35">
      <c r="A41" s="2305"/>
      <c r="B41" s="2305"/>
      <c r="C41" s="2306"/>
      <c r="D41" s="2306"/>
      <c r="E41" s="2337"/>
      <c r="F41" s="2337"/>
      <c r="G41" s="2337"/>
      <c r="H41" s="2337"/>
    </row>
    <row r="42" spans="1:8" ht="27.75" customHeight="1" x14ac:dyDescent="0.35">
      <c r="A42" s="2305"/>
      <c r="B42" s="2305"/>
      <c r="C42" s="2306"/>
      <c r="D42" s="2306"/>
      <c r="E42" s="2337"/>
      <c r="F42" s="2337"/>
      <c r="G42" s="2337"/>
      <c r="H42" s="2337"/>
    </row>
    <row r="43" spans="1:8" ht="27.75" customHeight="1" x14ac:dyDescent="0.35">
      <c r="A43" s="2305"/>
      <c r="B43" s="2305"/>
      <c r="C43" s="2306"/>
      <c r="D43" s="2306"/>
      <c r="E43" s="2337"/>
      <c r="F43" s="2337"/>
      <c r="G43" s="2337"/>
      <c r="H43" s="2337"/>
    </row>
    <row r="44" spans="1:8" s="2355" customFormat="1" ht="27.75" customHeight="1" x14ac:dyDescent="0.3">
      <c r="A44" s="2353"/>
      <c r="B44" s="2353"/>
      <c r="C44" s="2347"/>
      <c r="D44" s="2347"/>
      <c r="E44" s="2354"/>
      <c r="F44" s="2354"/>
      <c r="G44" s="2354"/>
      <c r="H44" s="2354"/>
    </row>
    <row r="45" spans="1:8" ht="27.75" customHeight="1" x14ac:dyDescent="0.35">
      <c r="A45" s="2305"/>
      <c r="B45" s="2305"/>
      <c r="C45" s="2306"/>
      <c r="D45" s="2305"/>
      <c r="E45" s="2337"/>
      <c r="F45" s="2337"/>
      <c r="G45" s="2337"/>
      <c r="H45" s="2337"/>
    </row>
    <row r="46" spans="1:8" x14ac:dyDescent="0.35">
      <c r="A46" s="2305"/>
      <c r="B46" s="2305"/>
      <c r="C46" s="2306"/>
      <c r="D46" s="2305"/>
      <c r="E46" s="2337"/>
      <c r="F46" s="2337"/>
      <c r="G46" s="2337"/>
      <c r="H46" s="2337"/>
    </row>
    <row r="47" spans="1:8" x14ac:dyDescent="0.35">
      <c r="A47" s="2305"/>
      <c r="B47" s="2305"/>
      <c r="C47" s="2306"/>
      <c r="D47" s="2305"/>
      <c r="E47" s="2337"/>
      <c r="F47" s="2337"/>
      <c r="G47" s="2337"/>
      <c r="H47" s="2337"/>
    </row>
    <row r="48" spans="1:8" x14ac:dyDescent="0.35">
      <c r="A48" s="2305"/>
      <c r="B48" s="2305"/>
      <c r="C48" s="2306"/>
      <c r="D48" s="2305"/>
      <c r="E48" s="2337"/>
      <c r="F48" s="2337"/>
      <c r="G48" s="2337"/>
      <c r="H48" s="2337"/>
    </row>
    <row r="49" spans="1:8" x14ac:dyDescent="0.35">
      <c r="A49" s="2305"/>
      <c r="B49" s="2305"/>
      <c r="C49" s="2306"/>
      <c r="D49" s="2305"/>
      <c r="E49" s="2337"/>
      <c r="F49" s="2337"/>
      <c r="G49" s="2337"/>
      <c r="H49" s="2337"/>
    </row>
    <row r="50" spans="1:8" x14ac:dyDescent="0.35">
      <c r="A50" s="2305"/>
      <c r="B50" s="2305"/>
      <c r="C50" s="2306"/>
      <c r="D50" s="2305"/>
      <c r="E50" s="2337"/>
      <c r="F50" s="2337"/>
      <c r="G50" s="2337"/>
      <c r="H50" s="2337"/>
    </row>
    <row r="51" spans="1:8" x14ac:dyDescent="0.35">
      <c r="A51" s="2305"/>
      <c r="B51" s="2305"/>
      <c r="C51" s="2306"/>
      <c r="D51" s="2305"/>
      <c r="E51" s="2337"/>
      <c r="F51" s="2337"/>
      <c r="G51" s="2337"/>
      <c r="H51" s="2337"/>
    </row>
    <row r="52" spans="1:8" x14ac:dyDescent="0.35">
      <c r="A52" s="2305"/>
      <c r="B52" s="2305"/>
      <c r="C52" s="2306"/>
      <c r="D52" s="2305"/>
      <c r="E52" s="2337"/>
      <c r="F52" s="2337"/>
      <c r="G52" s="2337"/>
      <c r="H52" s="2337"/>
    </row>
    <row r="53" spans="1:8" x14ac:dyDescent="0.35">
      <c r="A53" s="2305"/>
      <c r="B53" s="2305"/>
      <c r="C53" s="2306"/>
      <c r="D53" s="2305"/>
      <c r="E53" s="2337"/>
      <c r="F53" s="2337"/>
      <c r="G53" s="2337"/>
      <c r="H53" s="2337"/>
    </row>
    <row r="54" spans="1:8" x14ac:dyDescent="0.35">
      <c r="A54" s="2305"/>
      <c r="B54" s="2305"/>
      <c r="C54" s="2306"/>
      <c r="D54" s="2305"/>
      <c r="E54" s="2337"/>
      <c r="F54" s="2337"/>
      <c r="G54" s="2337"/>
      <c r="H54" s="2337"/>
    </row>
    <row r="55" spans="1:8" x14ac:dyDescent="0.35">
      <c r="A55" s="2305"/>
      <c r="B55" s="2305"/>
      <c r="C55" s="2306"/>
      <c r="D55" s="2305"/>
      <c r="E55" s="2337"/>
      <c r="F55" s="2337"/>
      <c r="G55" s="2337"/>
      <c r="H55" s="2337"/>
    </row>
    <row r="56" spans="1:8" x14ac:dyDescent="0.35">
      <c r="A56" s="2305"/>
      <c r="B56" s="2305"/>
      <c r="C56" s="2306"/>
      <c r="D56" s="2305"/>
      <c r="E56" s="2337"/>
      <c r="F56" s="2337"/>
      <c r="G56" s="2337"/>
      <c r="H56" s="2337"/>
    </row>
    <row r="57" spans="1:8" x14ac:dyDescent="0.35">
      <c r="A57" s="2305"/>
      <c r="B57" s="2305"/>
      <c r="C57" s="2306"/>
      <c r="D57" s="2305"/>
      <c r="E57" s="2337"/>
      <c r="F57" s="2337"/>
      <c r="G57" s="2337"/>
      <c r="H57" s="2337"/>
    </row>
    <row r="58" spans="1:8" x14ac:dyDescent="0.35">
      <c r="A58" s="2305"/>
      <c r="B58" s="2305"/>
      <c r="C58" s="2306"/>
      <c r="D58" s="2305"/>
      <c r="E58" s="2337"/>
      <c r="F58" s="2337"/>
      <c r="G58" s="2337"/>
      <c r="H58" s="2337"/>
    </row>
    <row r="59" spans="1:8" x14ac:dyDescent="0.35">
      <c r="A59" s="2305"/>
      <c r="B59" s="2305"/>
      <c r="C59" s="2306"/>
      <c r="D59" s="2305"/>
      <c r="E59" s="2337"/>
      <c r="F59" s="2337"/>
      <c r="G59" s="2337"/>
      <c r="H59" s="2337"/>
    </row>
    <row r="60" spans="1:8" x14ac:dyDescent="0.35">
      <c r="A60" s="2356"/>
      <c r="B60" s="2356"/>
      <c r="C60" s="2357"/>
      <c r="D60" s="2356"/>
    </row>
    <row r="61" spans="1:8" x14ac:dyDescent="0.35">
      <c r="A61" s="2356"/>
      <c r="B61" s="2356"/>
      <c r="C61" s="2357"/>
      <c r="D61" s="2356"/>
    </row>
    <row r="62" spans="1:8" x14ac:dyDescent="0.35">
      <c r="A62" s="2356"/>
      <c r="B62" s="2356"/>
      <c r="C62" s="2357"/>
      <c r="D62" s="2356"/>
    </row>
    <row r="63" spans="1:8" x14ac:dyDescent="0.35">
      <c r="A63" s="2356"/>
      <c r="B63" s="2356"/>
      <c r="C63" s="2357"/>
      <c r="D63" s="2356"/>
    </row>
    <row r="64" spans="1:8" x14ac:dyDescent="0.35">
      <c r="A64" s="2356"/>
      <c r="B64" s="2356"/>
      <c r="C64" s="2357"/>
      <c r="D64" s="2356"/>
    </row>
    <row r="65" spans="1:4" x14ac:dyDescent="0.35">
      <c r="A65" s="2356"/>
      <c r="B65" s="2356"/>
      <c r="C65" s="2357"/>
      <c r="D65" s="2356"/>
    </row>
    <row r="66" spans="1:4" x14ac:dyDescent="0.35">
      <c r="A66" s="2356"/>
      <c r="B66" s="2356"/>
      <c r="C66" s="2357"/>
      <c r="D66" s="2356"/>
    </row>
    <row r="67" spans="1:4" x14ac:dyDescent="0.35">
      <c r="A67" s="2356"/>
      <c r="B67" s="2356"/>
      <c r="C67" s="2357"/>
      <c r="D67" s="2356"/>
    </row>
    <row r="68" spans="1:4" x14ac:dyDescent="0.35">
      <c r="A68" s="2356"/>
      <c r="B68" s="2356"/>
      <c r="C68" s="2357"/>
      <c r="D68" s="2356"/>
    </row>
    <row r="69" spans="1:4" x14ac:dyDescent="0.35">
      <c r="A69" s="2356"/>
      <c r="B69" s="2356"/>
      <c r="C69" s="2357"/>
      <c r="D69" s="2356"/>
    </row>
    <row r="70" spans="1:4" x14ac:dyDescent="0.35">
      <c r="A70" s="2356"/>
      <c r="B70" s="2356"/>
      <c r="C70" s="2357"/>
      <c r="D70" s="2356"/>
    </row>
  </sheetData>
  <mergeCells count="7">
    <mergeCell ref="A31:D31"/>
    <mergeCell ref="A1:D1"/>
    <mergeCell ref="A2:D2"/>
    <mergeCell ref="A3:D3"/>
    <mergeCell ref="A6:D6"/>
    <mergeCell ref="A12:D12"/>
    <mergeCell ref="A19:D19"/>
  </mergeCells>
  <printOptions horizontalCentered="1"/>
  <pageMargins left="0.74803149606299213" right="0.74803149606299213" top="0.98425196850393704" bottom="0.98425196850393704" header="0.51181102362204722" footer="0.51181102362204722"/>
  <pageSetup paperSize="9" scale="47" orientation="portrait" vertic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Munka34"/>
  <dimension ref="A1:M12"/>
  <sheetViews>
    <sheetView view="pageBreakPreview" zoomScaleSheetLayoutView="100" workbookViewId="0">
      <selection activeCell="A4" sqref="A4:C4"/>
    </sheetView>
  </sheetViews>
  <sheetFormatPr defaultRowHeight="12.75" x14ac:dyDescent="0.2"/>
  <cols>
    <col min="1" max="1" width="7.42578125" style="14" customWidth="1"/>
    <col min="2" max="2" width="45" style="14" customWidth="1"/>
    <col min="3" max="3" width="68.28515625" style="14" customWidth="1"/>
    <col min="4" max="16384" width="9.140625" style="14"/>
  </cols>
  <sheetData>
    <row r="1" spans="1:13" ht="36" customHeight="1" x14ac:dyDescent="0.3">
      <c r="A1" s="2622" t="str">
        <f>Tartalomjegyzék_2017!A1</f>
        <v>Pilisvörösvár Város Önkormányzata Képviselő-testületének 7/2018. (IV. 27.) önkormányzati rendelete</v>
      </c>
      <c r="B1" s="2622"/>
      <c r="C1" s="2622"/>
      <c r="D1" s="195"/>
      <c r="E1" s="195"/>
    </row>
    <row r="2" spans="1:13" ht="18.75" x14ac:dyDescent="0.3">
      <c r="A2" s="2622" t="str">
        <f>Tartalomjegyzék_2017!A2</f>
        <v>az Önkormányzat  2017. évi zárszámadásáról</v>
      </c>
      <c r="B2" s="2622"/>
      <c r="C2" s="2622"/>
      <c r="D2" s="195"/>
      <c r="E2" s="195"/>
      <c r="F2" s="86"/>
      <c r="G2" s="86"/>
      <c r="H2" s="86"/>
      <c r="I2" s="86"/>
      <c r="J2" s="87"/>
      <c r="K2" s="87"/>
      <c r="L2" s="87"/>
      <c r="M2" s="87"/>
    </row>
    <row r="3" spans="1:13" ht="15" x14ac:dyDescent="0.25">
      <c r="A3" s="2623"/>
      <c r="B3" s="2623"/>
      <c r="C3" s="2623"/>
      <c r="D3" s="2623"/>
    </row>
    <row r="4" spans="1:13" s="15" customFormat="1" ht="65.25" customHeight="1" x14ac:dyDescent="0.25">
      <c r="A4" s="2624" t="str">
        <f>Tartalomjegyzék_2017!B39</f>
        <v>Civil szervezetek 2017. évi támogatása</v>
      </c>
      <c r="B4" s="2624"/>
      <c r="C4" s="2624"/>
      <c r="D4" s="100"/>
      <c r="E4" s="100"/>
      <c r="F4" s="100"/>
      <c r="G4" s="100"/>
      <c r="H4" s="100"/>
      <c r="I4" s="100"/>
      <c r="J4" s="100"/>
    </row>
    <row r="5" spans="1:13" s="15" customFormat="1" ht="18.75" customHeight="1" x14ac:dyDescent="0.25">
      <c r="A5" s="196"/>
      <c r="B5" s="196"/>
      <c r="C5" s="574" t="s">
        <v>694</v>
      </c>
      <c r="D5" s="89"/>
    </row>
    <row r="6" spans="1:13" ht="16.5" thickBot="1" x14ac:dyDescent="0.3">
      <c r="A6" s="87"/>
      <c r="B6" s="87"/>
      <c r="C6" s="575" t="s">
        <v>323</v>
      </c>
    </row>
    <row r="7" spans="1:13" s="15" customFormat="1" ht="62.25" customHeight="1" thickBot="1" x14ac:dyDescent="0.3">
      <c r="A7" s="30" t="s">
        <v>41</v>
      </c>
      <c r="B7" s="197" t="s">
        <v>650</v>
      </c>
      <c r="C7" s="46" t="s">
        <v>881</v>
      </c>
    </row>
    <row r="8" spans="1:13" ht="16.5" thickBot="1" x14ac:dyDescent="0.25">
      <c r="A8" s="198">
        <v>1</v>
      </c>
      <c r="B8" s="199" t="s">
        <v>770</v>
      </c>
      <c r="C8" s="576">
        <v>0</v>
      </c>
    </row>
    <row r="9" spans="1:13" ht="16.5" thickBot="1" x14ac:dyDescent="0.25">
      <c r="A9" s="200">
        <v>2</v>
      </c>
      <c r="B9" s="201" t="s">
        <v>144</v>
      </c>
      <c r="C9" s="577">
        <f>SUM(C8:C8)</f>
        <v>0</v>
      </c>
    </row>
    <row r="10" spans="1:13" ht="19.5" customHeight="1" x14ac:dyDescent="0.2">
      <c r="A10" s="87"/>
      <c r="B10" s="87"/>
      <c r="C10" s="87"/>
    </row>
    <row r="11" spans="1:13" s="13" customFormat="1" ht="15" x14ac:dyDescent="0.2"/>
    <row r="12" spans="1:13" s="13" customFormat="1" ht="15" x14ac:dyDescent="0.2"/>
  </sheetData>
  <mergeCells count="4">
    <mergeCell ref="A2:C2"/>
    <mergeCell ref="A3:D3"/>
    <mergeCell ref="A4:C4"/>
    <mergeCell ref="A1:C1"/>
  </mergeCells>
  <phoneticPr fontId="62" type="noConversion"/>
  <printOptions horizontalCentered="1"/>
  <pageMargins left="0.74803149606299213" right="0.74803149606299213" top="0.98425196850393704" bottom="0.98425196850393704" header="0.51181102362204722" footer="0.51181102362204722"/>
  <pageSetup paperSize="9" scale="7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X73"/>
  <sheetViews>
    <sheetView view="pageBreakPreview" topLeftCell="A16" zoomScaleSheetLayoutView="100" workbookViewId="0">
      <selection activeCell="C26" sqref="C26"/>
    </sheetView>
  </sheetViews>
  <sheetFormatPr defaultRowHeight="15.75" x14ac:dyDescent="0.25"/>
  <cols>
    <col min="1" max="1" width="69.85546875" style="423" customWidth="1"/>
    <col min="2" max="2" width="9.140625" style="423"/>
    <col min="3" max="3" width="15.5703125" style="423" customWidth="1"/>
    <col min="4" max="5" width="14.140625" style="423" customWidth="1"/>
    <col min="6" max="6" width="14.5703125" style="423" customWidth="1"/>
    <col min="7" max="7" width="14.7109375" style="423" customWidth="1"/>
    <col min="8" max="16384" width="9.140625" style="423"/>
  </cols>
  <sheetData>
    <row r="1" spans="1:6" ht="18.75" customHeight="1" x14ac:dyDescent="0.3">
      <c r="A1" s="2622" t="str">
        <f>'31.sz.adósságszolgálat'!A1:C1</f>
        <v>Pilisvörösvár Város Önkormányzata Képviselő-testületének 7/2018. (IV. 27.) önkormányzati rendelete</v>
      </c>
      <c r="B1" s="2622"/>
      <c r="C1" s="2622"/>
      <c r="D1" s="2622"/>
      <c r="E1" s="2622"/>
      <c r="F1" s="2504"/>
    </row>
    <row r="2" spans="1:6" ht="18.75" customHeight="1" x14ac:dyDescent="0.3">
      <c r="A2" s="2622" t="str">
        <f>'31.sz.adósságszolgálat'!A2:C2</f>
        <v>az Önkormányzat  2017. évi zárszámadásáról</v>
      </c>
      <c r="B2" s="2622"/>
      <c r="C2" s="2622"/>
      <c r="D2" s="2622"/>
      <c r="E2" s="2622"/>
      <c r="F2" s="2504"/>
    </row>
    <row r="3" spans="1:6" ht="25.5" customHeight="1" x14ac:dyDescent="0.3">
      <c r="A3" s="2622" t="s">
        <v>0</v>
      </c>
      <c r="B3" s="2622"/>
      <c r="C3" s="2622"/>
      <c r="D3" s="2622"/>
      <c r="E3" s="2622"/>
      <c r="F3" s="2504"/>
    </row>
    <row r="4" spans="1:6" ht="32.25" customHeight="1" x14ac:dyDescent="0.3">
      <c r="A4" s="2622" t="s">
        <v>65</v>
      </c>
      <c r="B4" s="2622"/>
      <c r="C4" s="2622"/>
      <c r="D4" s="2622"/>
      <c r="E4" s="2622"/>
      <c r="F4" s="2504"/>
    </row>
    <row r="5" spans="1:6" ht="19.5" x14ac:dyDescent="0.35">
      <c r="A5" s="424"/>
      <c r="B5" s="422"/>
      <c r="C5" s="422"/>
      <c r="D5" s="422"/>
      <c r="E5" s="422"/>
      <c r="F5" s="425" t="s">
        <v>813</v>
      </c>
    </row>
    <row r="6" spans="1:6" ht="19.5" thickBot="1" x14ac:dyDescent="0.35">
      <c r="A6" s="422" t="s">
        <v>662</v>
      </c>
      <c r="B6" s="422"/>
      <c r="C6" s="422"/>
      <c r="D6" s="422"/>
      <c r="E6" s="422"/>
      <c r="F6" s="425" t="s">
        <v>323</v>
      </c>
    </row>
    <row r="7" spans="1:6" ht="32.25" thickBot="1" x14ac:dyDescent="0.3">
      <c r="A7" s="426" t="s">
        <v>363</v>
      </c>
      <c r="B7" s="427" t="s">
        <v>287</v>
      </c>
      <c r="C7" s="587" t="s">
        <v>663</v>
      </c>
      <c r="D7" s="587" t="s">
        <v>664</v>
      </c>
      <c r="E7" s="587" t="s">
        <v>639</v>
      </c>
      <c r="F7" s="587" t="s">
        <v>893</v>
      </c>
    </row>
    <row r="8" spans="1:6" ht="18.75" x14ac:dyDescent="0.3">
      <c r="A8" s="428" t="s">
        <v>289</v>
      </c>
      <c r="B8" s="429" t="s">
        <v>288</v>
      </c>
      <c r="C8" s="578">
        <f>'2.Kiadások_részletes '!X11</f>
        <v>780942</v>
      </c>
      <c r="D8" s="578">
        <f>C8</f>
        <v>780942</v>
      </c>
      <c r="E8" s="578">
        <f t="shared" ref="E8:F8" si="0">D8</f>
        <v>780942</v>
      </c>
      <c r="F8" s="578">
        <f t="shared" si="0"/>
        <v>780942</v>
      </c>
    </row>
    <row r="9" spans="1:6" ht="18.75" x14ac:dyDescent="0.3">
      <c r="A9" s="430" t="s">
        <v>291</v>
      </c>
      <c r="B9" s="431" t="s">
        <v>290</v>
      </c>
      <c r="C9" s="578">
        <f>'2.Kiadások_részletes '!X12</f>
        <v>177320</v>
      </c>
      <c r="D9" s="578">
        <f>C9</f>
        <v>177320</v>
      </c>
      <c r="E9" s="578">
        <f t="shared" ref="E9:F21" si="1">D9</f>
        <v>177320</v>
      </c>
      <c r="F9" s="578">
        <f t="shared" si="1"/>
        <v>177320</v>
      </c>
    </row>
    <row r="10" spans="1:6" ht="18.75" x14ac:dyDescent="0.3">
      <c r="A10" s="430" t="s">
        <v>293</v>
      </c>
      <c r="B10" s="431" t="s">
        <v>292</v>
      </c>
      <c r="C10" s="578">
        <f>'2.Kiadások_részletes '!X13</f>
        <v>616436.06400000001</v>
      </c>
      <c r="D10" s="578">
        <f>C10*1.004</f>
        <v>618901.80825600005</v>
      </c>
      <c r="E10" s="578">
        <f t="shared" si="1"/>
        <v>618901.80825600005</v>
      </c>
      <c r="F10" s="578">
        <f t="shared" si="1"/>
        <v>618901.80825600005</v>
      </c>
    </row>
    <row r="11" spans="1:6" ht="18.75" x14ac:dyDescent="0.3">
      <c r="A11" s="432" t="s">
        <v>39</v>
      </c>
      <c r="B11" s="431" t="s">
        <v>294</v>
      </c>
      <c r="C11" s="578">
        <f>'2.Kiadások_részletes '!X14</f>
        <v>19366</v>
      </c>
      <c r="D11" s="578">
        <f>C11</f>
        <v>19366</v>
      </c>
      <c r="E11" s="578">
        <f t="shared" si="1"/>
        <v>19366</v>
      </c>
      <c r="F11" s="578">
        <f t="shared" si="1"/>
        <v>19366</v>
      </c>
    </row>
    <row r="12" spans="1:6" ht="18.75" x14ac:dyDescent="0.3">
      <c r="A12" s="432" t="s">
        <v>302</v>
      </c>
      <c r="B12" s="431" t="s">
        <v>301</v>
      </c>
      <c r="C12" s="579">
        <f>'2.Kiadások_részletes '!X19</f>
        <v>316342</v>
      </c>
      <c r="D12" s="578">
        <f>C12*1.004</f>
        <v>317607.36800000002</v>
      </c>
      <c r="E12" s="578">
        <f t="shared" si="1"/>
        <v>317607.36800000002</v>
      </c>
      <c r="F12" s="578">
        <f t="shared" si="1"/>
        <v>317607.36800000002</v>
      </c>
    </row>
    <row r="13" spans="1:6" ht="18.75" x14ac:dyDescent="0.3">
      <c r="A13" s="433" t="s">
        <v>324</v>
      </c>
      <c r="B13" s="434"/>
      <c r="C13" s="580">
        <f>SUM(C8:C12)</f>
        <v>1910406.064</v>
      </c>
      <c r="D13" s="580">
        <f t="shared" ref="D13:F13" si="2">SUM(D8:D12)</f>
        <v>1914137.1762560001</v>
      </c>
      <c r="E13" s="580">
        <f t="shared" si="2"/>
        <v>1914137.1762560001</v>
      </c>
      <c r="F13" s="580">
        <f t="shared" si="2"/>
        <v>1914137.1762560001</v>
      </c>
    </row>
    <row r="14" spans="1:6" ht="18.75" x14ac:dyDescent="0.3">
      <c r="A14" s="435" t="s">
        <v>446</v>
      </c>
      <c r="B14" s="431" t="s">
        <v>303</v>
      </c>
      <c r="C14" s="579">
        <f>'2.Kiadások_részletes '!X21</f>
        <v>280932</v>
      </c>
      <c r="D14" s="578">
        <v>100000</v>
      </c>
      <c r="E14" s="578">
        <f t="shared" si="1"/>
        <v>100000</v>
      </c>
      <c r="F14" s="578">
        <f t="shared" si="1"/>
        <v>100000</v>
      </c>
    </row>
    <row r="15" spans="1:6" ht="18.75" x14ac:dyDescent="0.3">
      <c r="A15" s="432" t="s">
        <v>305</v>
      </c>
      <c r="B15" s="431" t="s">
        <v>304</v>
      </c>
      <c r="C15" s="579">
        <f>'2.Kiadások_részletes '!X22</f>
        <v>26619</v>
      </c>
      <c r="D15" s="578">
        <v>26000</v>
      </c>
      <c r="E15" s="578">
        <f t="shared" si="1"/>
        <v>26000</v>
      </c>
      <c r="F15" s="578">
        <f t="shared" si="1"/>
        <v>26000</v>
      </c>
    </row>
    <row r="16" spans="1:6" ht="18.75" x14ac:dyDescent="0.3">
      <c r="A16" s="432" t="s">
        <v>309</v>
      </c>
      <c r="B16" s="431" t="s">
        <v>308</v>
      </c>
      <c r="C16" s="579">
        <f>'2.Kiadások_részletes '!X25</f>
        <v>0</v>
      </c>
      <c r="D16" s="578">
        <f>C16</f>
        <v>0</v>
      </c>
      <c r="E16" s="578">
        <f t="shared" si="1"/>
        <v>0</v>
      </c>
      <c r="F16" s="578">
        <f t="shared" si="1"/>
        <v>0</v>
      </c>
    </row>
    <row r="17" spans="1:24" ht="18.75" x14ac:dyDescent="0.3">
      <c r="A17" s="433" t="s">
        <v>325</v>
      </c>
      <c r="B17" s="436"/>
      <c r="C17" s="580">
        <f>SUM(C14:C16)</f>
        <v>307551</v>
      </c>
      <c r="D17" s="580">
        <f t="shared" ref="D17:F17" si="3">SUM(D14:D16)</f>
        <v>126000</v>
      </c>
      <c r="E17" s="580">
        <f t="shared" si="3"/>
        <v>126000</v>
      </c>
      <c r="F17" s="580">
        <f t="shared" si="3"/>
        <v>126000</v>
      </c>
    </row>
    <row r="18" spans="1:24" ht="18.75" x14ac:dyDescent="0.3">
      <c r="A18" s="437" t="s">
        <v>311</v>
      </c>
      <c r="B18" s="438" t="s">
        <v>310</v>
      </c>
      <c r="C18" s="581">
        <f>C17+C13</f>
        <v>2217957.0640000002</v>
      </c>
      <c r="D18" s="581">
        <f t="shared" ref="D18:F18" si="4">D17+D13</f>
        <v>2040137.1762560001</v>
      </c>
      <c r="E18" s="581">
        <f t="shared" si="4"/>
        <v>2040137.1762560001</v>
      </c>
      <c r="F18" s="581">
        <f t="shared" si="4"/>
        <v>2040137.1762560001</v>
      </c>
    </row>
    <row r="19" spans="1:24" ht="18.75" x14ac:dyDescent="0.3">
      <c r="A19" s="439" t="s">
        <v>317</v>
      </c>
      <c r="B19" s="440" t="s">
        <v>316</v>
      </c>
      <c r="C19" s="582">
        <f>'2.Kiadások_részletes '!X30+'2.Kiadások_részletes '!X32</f>
        <v>21919</v>
      </c>
      <c r="D19" s="578">
        <f>C19</f>
        <v>21919</v>
      </c>
      <c r="E19" s="578">
        <f t="shared" si="1"/>
        <v>21919</v>
      </c>
      <c r="F19" s="578">
        <f t="shared" si="1"/>
        <v>21919</v>
      </c>
      <c r="G19" s="441"/>
      <c r="H19" s="441"/>
      <c r="I19" s="441"/>
      <c r="J19" s="441"/>
      <c r="K19" s="441"/>
      <c r="L19" s="441"/>
      <c r="M19" s="441"/>
      <c r="N19" s="441"/>
      <c r="O19" s="441"/>
      <c r="P19" s="441"/>
      <c r="Q19" s="441"/>
      <c r="R19" s="441"/>
      <c r="S19" s="441"/>
      <c r="T19" s="441"/>
      <c r="U19" s="441"/>
      <c r="V19" s="441"/>
      <c r="W19" s="442"/>
      <c r="X19" s="442"/>
    </row>
    <row r="20" spans="1:24" ht="18.75" x14ac:dyDescent="0.3">
      <c r="A20" s="439" t="s">
        <v>319</v>
      </c>
      <c r="B20" s="440" t="s">
        <v>318</v>
      </c>
      <c r="C20" s="582"/>
      <c r="D20" s="578">
        <f>C20</f>
        <v>0</v>
      </c>
      <c r="E20" s="578">
        <f t="shared" si="1"/>
        <v>0</v>
      </c>
      <c r="F20" s="578">
        <f t="shared" si="1"/>
        <v>0</v>
      </c>
      <c r="G20" s="441"/>
      <c r="H20" s="441"/>
      <c r="I20" s="441"/>
      <c r="J20" s="441"/>
      <c r="K20" s="441"/>
      <c r="L20" s="441"/>
      <c r="M20" s="441"/>
      <c r="N20" s="441"/>
      <c r="O20" s="441"/>
      <c r="P20" s="441"/>
      <c r="Q20" s="441"/>
      <c r="R20" s="441"/>
      <c r="S20" s="441"/>
      <c r="T20" s="441"/>
      <c r="U20" s="441"/>
      <c r="V20" s="441"/>
      <c r="W20" s="442"/>
      <c r="X20" s="442"/>
    </row>
    <row r="21" spans="1:24" ht="18.75" x14ac:dyDescent="0.3">
      <c r="A21" s="443" t="s">
        <v>321</v>
      </c>
      <c r="B21" s="444" t="s">
        <v>320</v>
      </c>
      <c r="C21" s="582"/>
      <c r="D21" s="578">
        <f>C21</f>
        <v>0</v>
      </c>
      <c r="E21" s="578">
        <f t="shared" si="1"/>
        <v>0</v>
      </c>
      <c r="F21" s="578">
        <f t="shared" si="1"/>
        <v>0</v>
      </c>
      <c r="G21" s="445"/>
      <c r="H21" s="445"/>
      <c r="I21" s="445"/>
      <c r="J21" s="445"/>
      <c r="K21" s="445"/>
      <c r="L21" s="445"/>
      <c r="M21" s="445"/>
      <c r="N21" s="445"/>
      <c r="O21" s="445"/>
      <c r="P21" s="445"/>
      <c r="Q21" s="445"/>
      <c r="R21" s="445"/>
      <c r="S21" s="445"/>
      <c r="T21" s="445"/>
      <c r="U21" s="445"/>
      <c r="V21" s="445"/>
      <c r="W21" s="442"/>
      <c r="X21" s="442"/>
    </row>
    <row r="22" spans="1:24" ht="19.5" thickBot="1" x14ac:dyDescent="0.35">
      <c r="A22" s="446" t="s">
        <v>42</v>
      </c>
      <c r="B22" s="447" t="s">
        <v>322</v>
      </c>
      <c r="C22" s="583">
        <f>SUM(C19:C21)</f>
        <v>21919</v>
      </c>
      <c r="D22" s="583">
        <f t="shared" ref="D22:F22" si="5">SUM(D19:D21)</f>
        <v>21919</v>
      </c>
      <c r="E22" s="583">
        <f t="shared" si="5"/>
        <v>21919</v>
      </c>
      <c r="F22" s="583">
        <f t="shared" si="5"/>
        <v>21919</v>
      </c>
      <c r="G22" s="441"/>
      <c r="H22" s="441"/>
      <c r="I22" s="441"/>
      <c r="J22" s="441"/>
      <c r="K22" s="441"/>
      <c r="L22" s="441"/>
      <c r="M22" s="441"/>
      <c r="N22" s="441"/>
      <c r="O22" s="441"/>
      <c r="P22" s="441"/>
      <c r="Q22" s="441"/>
      <c r="R22" s="441"/>
      <c r="S22" s="441"/>
      <c r="T22" s="441"/>
      <c r="U22" s="441"/>
      <c r="V22" s="441"/>
      <c r="W22" s="442"/>
      <c r="X22" s="442"/>
    </row>
    <row r="23" spans="1:24" ht="19.5" thickBot="1" x14ac:dyDescent="0.35">
      <c r="A23" s="448" t="s">
        <v>346</v>
      </c>
      <c r="B23" s="449"/>
      <c r="C23" s="584">
        <f>C22+C18</f>
        <v>2239876.0640000002</v>
      </c>
      <c r="D23" s="584">
        <f t="shared" ref="D23:F23" si="6">D22+D18</f>
        <v>2062056.1762560001</v>
      </c>
      <c r="E23" s="584">
        <f t="shared" si="6"/>
        <v>2062056.1762560001</v>
      </c>
      <c r="F23" s="584">
        <f t="shared" si="6"/>
        <v>2062056.1762560001</v>
      </c>
      <c r="G23" s="442"/>
      <c r="H23" s="442"/>
      <c r="I23" s="442"/>
      <c r="J23" s="442"/>
      <c r="K23" s="442"/>
      <c r="L23" s="442"/>
      <c r="M23" s="442"/>
      <c r="N23" s="442"/>
      <c r="O23" s="442"/>
      <c r="P23" s="442"/>
      <c r="Q23" s="442"/>
      <c r="R23" s="442"/>
      <c r="S23" s="442"/>
      <c r="T23" s="442"/>
      <c r="U23" s="442"/>
      <c r="V23" s="442"/>
      <c r="W23" s="442"/>
      <c r="X23" s="442"/>
    </row>
    <row r="24" spans="1:24" x14ac:dyDescent="0.25">
      <c r="B24" s="442"/>
      <c r="C24" s="442"/>
      <c r="D24" s="442"/>
      <c r="E24" s="442"/>
      <c r="F24" s="442"/>
      <c r="G24" s="442"/>
      <c r="H24" s="442"/>
      <c r="I24" s="442"/>
      <c r="J24" s="442"/>
      <c r="K24" s="442"/>
      <c r="L24" s="442"/>
      <c r="M24" s="442"/>
      <c r="N24" s="442"/>
      <c r="O24" s="442"/>
      <c r="P24" s="442"/>
      <c r="Q24" s="442"/>
      <c r="R24" s="442"/>
      <c r="S24" s="442"/>
      <c r="T24" s="442"/>
      <c r="U24" s="442"/>
      <c r="V24" s="442"/>
      <c r="W24" s="442"/>
      <c r="X24" s="442"/>
    </row>
    <row r="25" spans="1:24" ht="18.75" x14ac:dyDescent="0.3">
      <c r="A25" s="2622" t="s">
        <v>64</v>
      </c>
      <c r="B25" s="2622"/>
      <c r="C25" s="2622"/>
      <c r="D25" s="2622"/>
      <c r="E25" s="2622"/>
      <c r="F25" s="2504"/>
      <c r="G25" s="442"/>
      <c r="H25" s="442"/>
      <c r="I25" s="442"/>
      <c r="J25" s="442"/>
      <c r="K25" s="442"/>
      <c r="L25" s="442"/>
      <c r="M25" s="442"/>
      <c r="N25" s="442"/>
      <c r="O25" s="442"/>
      <c r="P25" s="442"/>
      <c r="Q25" s="442"/>
      <c r="R25" s="442"/>
      <c r="S25" s="442"/>
      <c r="T25" s="442"/>
      <c r="U25" s="442"/>
      <c r="V25" s="442"/>
      <c r="W25" s="442"/>
      <c r="X25" s="442"/>
    </row>
    <row r="26" spans="1:24" ht="19.5" x14ac:dyDescent="0.35">
      <c r="A26" s="424"/>
      <c r="B26" s="422"/>
      <c r="C26" s="422"/>
      <c r="D26" s="422"/>
      <c r="E26" s="422"/>
      <c r="F26" s="450"/>
      <c r="G26" s="442"/>
      <c r="H26" s="442"/>
      <c r="I26" s="442"/>
      <c r="J26" s="442"/>
      <c r="K26" s="442"/>
      <c r="L26" s="442"/>
      <c r="M26" s="442"/>
      <c r="N26" s="442"/>
      <c r="O26" s="442"/>
      <c r="P26" s="442"/>
      <c r="Q26" s="442"/>
      <c r="R26" s="442"/>
      <c r="S26" s="442"/>
      <c r="T26" s="442"/>
      <c r="U26" s="442"/>
      <c r="V26" s="442"/>
      <c r="W26" s="442"/>
      <c r="X26" s="442"/>
    </row>
    <row r="27" spans="1:24" ht="19.5" thickBot="1" x14ac:dyDescent="0.35">
      <c r="A27" s="422" t="s">
        <v>662</v>
      </c>
      <c r="B27" s="422"/>
      <c r="C27" s="422"/>
      <c r="D27" s="422"/>
      <c r="E27" s="422"/>
      <c r="F27" s="425" t="s">
        <v>323</v>
      </c>
      <c r="G27" s="442"/>
      <c r="H27" s="442"/>
      <c r="I27" s="442"/>
      <c r="J27" s="442"/>
      <c r="K27" s="442"/>
      <c r="L27" s="442"/>
      <c r="M27" s="442"/>
      <c r="N27" s="442"/>
      <c r="O27" s="442"/>
      <c r="P27" s="442"/>
      <c r="Q27" s="442"/>
      <c r="R27" s="442"/>
      <c r="S27" s="442"/>
      <c r="T27" s="442"/>
      <c r="U27" s="442"/>
      <c r="V27" s="442"/>
      <c r="W27" s="442"/>
      <c r="X27" s="442"/>
    </row>
    <row r="28" spans="1:24" ht="32.25" thickBot="1" x14ac:dyDescent="0.3">
      <c r="A28" s="426" t="s">
        <v>363</v>
      </c>
      <c r="B28" s="427" t="s">
        <v>364</v>
      </c>
      <c r="C28" s="587" t="s">
        <v>663</v>
      </c>
      <c r="D28" s="587" t="s">
        <v>664</v>
      </c>
      <c r="E28" s="587" t="s">
        <v>639</v>
      </c>
      <c r="F28" s="587" t="s">
        <v>893</v>
      </c>
      <c r="G28" s="442"/>
      <c r="H28" s="442"/>
      <c r="I28" s="442"/>
      <c r="J28" s="442"/>
      <c r="K28" s="442"/>
      <c r="L28" s="442"/>
      <c r="M28" s="442"/>
      <c r="N28" s="442"/>
      <c r="O28" s="442"/>
      <c r="P28" s="442"/>
      <c r="Q28" s="442"/>
      <c r="R28" s="442"/>
      <c r="S28" s="442"/>
      <c r="T28" s="442"/>
      <c r="U28" s="442"/>
      <c r="V28" s="442"/>
      <c r="W28" s="442"/>
      <c r="X28" s="442"/>
    </row>
    <row r="29" spans="1:24" ht="18.75" x14ac:dyDescent="0.3">
      <c r="A29" s="451" t="s">
        <v>377</v>
      </c>
      <c r="B29" s="452" t="s">
        <v>378</v>
      </c>
      <c r="C29" s="578">
        <f>'2.Bevételek_részletes'!X10</f>
        <v>880397.701906275</v>
      </c>
      <c r="D29" s="578">
        <f>C29</f>
        <v>880397.701906275</v>
      </c>
      <c r="E29" s="578">
        <f t="shared" ref="E29:F47" si="7">D29</f>
        <v>880397.701906275</v>
      </c>
      <c r="F29" s="578">
        <f t="shared" si="7"/>
        <v>880397.701906275</v>
      </c>
      <c r="G29" s="442"/>
      <c r="H29" s="442"/>
      <c r="I29" s="442"/>
      <c r="J29" s="442"/>
      <c r="K29" s="442"/>
      <c r="L29" s="442"/>
      <c r="M29" s="442"/>
      <c r="N29" s="442"/>
      <c r="O29" s="442"/>
      <c r="P29" s="442"/>
      <c r="Q29" s="442"/>
      <c r="R29" s="442"/>
      <c r="S29" s="442"/>
      <c r="T29" s="442"/>
      <c r="U29" s="442"/>
      <c r="V29" s="442"/>
      <c r="W29" s="442"/>
      <c r="X29" s="442"/>
    </row>
    <row r="30" spans="1:24" ht="18.75" x14ac:dyDescent="0.3">
      <c r="A30" s="430" t="s">
        <v>386</v>
      </c>
      <c r="B30" s="453" t="s">
        <v>387</v>
      </c>
      <c r="C30" s="579">
        <f>'2.Bevételek_részletes'!X17</f>
        <v>632200</v>
      </c>
      <c r="D30" s="578">
        <f>C30</f>
        <v>632200</v>
      </c>
      <c r="E30" s="578">
        <f t="shared" si="7"/>
        <v>632200</v>
      </c>
      <c r="F30" s="578">
        <f t="shared" si="7"/>
        <v>632200</v>
      </c>
      <c r="G30" s="442"/>
      <c r="H30" s="442"/>
      <c r="I30" s="442"/>
      <c r="J30" s="442"/>
      <c r="K30" s="442"/>
      <c r="L30" s="442"/>
      <c r="M30" s="442"/>
      <c r="N30" s="442"/>
      <c r="O30" s="442"/>
      <c r="P30" s="442"/>
      <c r="Q30" s="442"/>
      <c r="R30" s="442"/>
      <c r="S30" s="442"/>
      <c r="T30" s="442"/>
      <c r="U30" s="442"/>
      <c r="V30" s="442"/>
      <c r="W30" s="442"/>
      <c r="X30" s="442"/>
    </row>
    <row r="31" spans="1:24" ht="18.75" x14ac:dyDescent="0.3">
      <c r="A31" s="432" t="s">
        <v>402</v>
      </c>
      <c r="B31" s="453" t="s">
        <v>403</v>
      </c>
      <c r="C31" s="579">
        <f>'2.Bevételek_részletes'!X26</f>
        <v>300724.25436000002</v>
      </c>
      <c r="D31" s="578">
        <f>C31</f>
        <v>300724.25436000002</v>
      </c>
      <c r="E31" s="578">
        <f t="shared" si="7"/>
        <v>300724.25436000002</v>
      </c>
      <c r="F31" s="578">
        <f t="shared" si="7"/>
        <v>300724.25436000002</v>
      </c>
      <c r="G31" s="442"/>
      <c r="H31" s="442"/>
      <c r="I31" s="442"/>
      <c r="J31" s="442"/>
      <c r="K31" s="442"/>
      <c r="L31" s="442"/>
      <c r="M31" s="442"/>
      <c r="N31" s="442"/>
      <c r="O31" s="442"/>
      <c r="P31" s="442"/>
      <c r="Q31" s="442"/>
      <c r="R31" s="442"/>
      <c r="S31" s="442"/>
      <c r="T31" s="442"/>
      <c r="U31" s="442"/>
      <c r="V31" s="442"/>
      <c r="W31" s="442"/>
      <c r="X31" s="442"/>
    </row>
    <row r="32" spans="1:24" ht="18.75" x14ac:dyDescent="0.3">
      <c r="A32" s="430" t="s">
        <v>412</v>
      </c>
      <c r="B32" s="453" t="s">
        <v>413</v>
      </c>
      <c r="C32" s="579">
        <f>'2.Bevételek_részletes'!X31</f>
        <v>0</v>
      </c>
      <c r="D32" s="578">
        <f>C32</f>
        <v>0</v>
      </c>
      <c r="E32" s="578">
        <f t="shared" si="7"/>
        <v>0</v>
      </c>
      <c r="F32" s="578">
        <f t="shared" si="7"/>
        <v>0</v>
      </c>
      <c r="G32" s="442"/>
      <c r="H32" s="442"/>
      <c r="I32" s="442"/>
      <c r="J32" s="442"/>
      <c r="K32" s="442"/>
      <c r="L32" s="442"/>
      <c r="M32" s="442"/>
      <c r="N32" s="442"/>
      <c r="O32" s="442"/>
      <c r="P32" s="442"/>
      <c r="Q32" s="442"/>
      <c r="R32" s="442"/>
      <c r="S32" s="442"/>
      <c r="T32" s="442"/>
      <c r="U32" s="442"/>
      <c r="V32" s="442"/>
      <c r="W32" s="442"/>
      <c r="X32" s="442"/>
    </row>
    <row r="33" spans="1:24" ht="18.75" x14ac:dyDescent="0.3">
      <c r="A33" s="433" t="s">
        <v>92</v>
      </c>
      <c r="B33" s="454"/>
      <c r="C33" s="580">
        <f>SUM(C29:C32)</f>
        <v>1813321.9562662751</v>
      </c>
      <c r="D33" s="580">
        <f t="shared" ref="D33:F33" si="8">SUM(D29:D32)</f>
        <v>1813321.9562662751</v>
      </c>
      <c r="E33" s="580">
        <f t="shared" si="8"/>
        <v>1813321.9562662751</v>
      </c>
      <c r="F33" s="580">
        <f t="shared" si="8"/>
        <v>1813321.9562662751</v>
      </c>
      <c r="G33" s="442"/>
      <c r="H33" s="442"/>
      <c r="I33" s="442"/>
      <c r="J33" s="442"/>
      <c r="K33" s="442"/>
      <c r="L33" s="442"/>
      <c r="M33" s="442"/>
      <c r="N33" s="442"/>
      <c r="O33" s="442"/>
      <c r="P33" s="442"/>
      <c r="Q33" s="442"/>
      <c r="R33" s="442"/>
      <c r="S33" s="442"/>
      <c r="T33" s="442"/>
      <c r="U33" s="442"/>
      <c r="V33" s="442"/>
      <c r="W33" s="442"/>
      <c r="X33" s="442"/>
    </row>
    <row r="34" spans="1:24" ht="18.75" x14ac:dyDescent="0.3">
      <c r="A34" s="430" t="s">
        <v>381</v>
      </c>
      <c r="B34" s="453" t="s">
        <v>382</v>
      </c>
      <c r="C34" s="579">
        <f>'2.Bevételek_részletes'!X13</f>
        <v>0</v>
      </c>
      <c r="D34" s="578">
        <f>C34</f>
        <v>0</v>
      </c>
      <c r="E34" s="578">
        <f t="shared" si="7"/>
        <v>0</v>
      </c>
      <c r="F34" s="578">
        <f t="shared" si="7"/>
        <v>0</v>
      </c>
      <c r="G34" s="442"/>
      <c r="H34" s="442"/>
      <c r="I34" s="442"/>
      <c r="J34" s="442"/>
      <c r="K34" s="442"/>
      <c r="L34" s="442"/>
      <c r="M34" s="442"/>
      <c r="N34" s="442"/>
      <c r="O34" s="442"/>
      <c r="P34" s="442"/>
      <c r="Q34" s="442"/>
      <c r="R34" s="442"/>
      <c r="S34" s="442"/>
      <c r="T34" s="442"/>
      <c r="U34" s="442"/>
      <c r="V34" s="442"/>
      <c r="W34" s="442"/>
      <c r="X34" s="442"/>
    </row>
    <row r="35" spans="1:24" ht="18.75" x14ac:dyDescent="0.3">
      <c r="A35" s="430" t="s">
        <v>408</v>
      </c>
      <c r="B35" s="453" t="s">
        <v>409</v>
      </c>
      <c r="C35" s="579">
        <f>'2.Bevételek_részletes'!X29</f>
        <v>8379</v>
      </c>
      <c r="D35" s="578">
        <f>C35</f>
        <v>8379</v>
      </c>
      <c r="E35" s="578">
        <f t="shared" si="7"/>
        <v>8379</v>
      </c>
      <c r="F35" s="578">
        <f t="shared" si="7"/>
        <v>8379</v>
      </c>
      <c r="G35" s="442"/>
      <c r="H35" s="442"/>
      <c r="I35" s="442"/>
      <c r="J35" s="442"/>
      <c r="K35" s="442"/>
      <c r="L35" s="442"/>
      <c r="M35" s="442"/>
      <c r="N35" s="442"/>
      <c r="O35" s="442"/>
      <c r="P35" s="442"/>
      <c r="Q35" s="442"/>
      <c r="R35" s="442"/>
      <c r="S35" s="442"/>
      <c r="T35" s="442"/>
      <c r="U35" s="442"/>
      <c r="V35" s="442"/>
      <c r="W35" s="442"/>
      <c r="X35" s="442"/>
    </row>
    <row r="36" spans="1:24" ht="18.75" x14ac:dyDescent="0.3">
      <c r="A36" s="430" t="s">
        <v>418</v>
      </c>
      <c r="B36" s="453" t="s">
        <v>419</v>
      </c>
      <c r="C36" s="579">
        <f>'2.Bevételek_részletes'!X34</f>
        <v>2726</v>
      </c>
      <c r="D36" s="578">
        <f>C36</f>
        <v>2726</v>
      </c>
      <c r="E36" s="578">
        <f t="shared" si="7"/>
        <v>2726</v>
      </c>
      <c r="F36" s="578">
        <f t="shared" si="7"/>
        <v>2726</v>
      </c>
      <c r="G36" s="442"/>
      <c r="H36" s="442"/>
      <c r="I36" s="442"/>
      <c r="J36" s="442"/>
      <c r="K36" s="442"/>
      <c r="L36" s="442"/>
      <c r="M36" s="442"/>
      <c r="N36" s="442"/>
      <c r="O36" s="442"/>
      <c r="P36" s="442"/>
      <c r="Q36" s="442"/>
      <c r="R36" s="442"/>
      <c r="S36" s="442"/>
      <c r="T36" s="442"/>
      <c r="U36" s="442"/>
      <c r="V36" s="442"/>
      <c r="W36" s="442"/>
      <c r="X36" s="442"/>
    </row>
    <row r="37" spans="1:24" ht="18.75" x14ac:dyDescent="0.3">
      <c r="A37" s="433" t="s">
        <v>93</v>
      </c>
      <c r="B37" s="454"/>
      <c r="C37" s="580">
        <f>SUM(C34:C36)</f>
        <v>11105</v>
      </c>
      <c r="D37" s="580">
        <f t="shared" ref="D37:F37" si="9">SUM(D34:D36)</f>
        <v>11105</v>
      </c>
      <c r="E37" s="580">
        <f t="shared" si="9"/>
        <v>11105</v>
      </c>
      <c r="F37" s="580">
        <f t="shared" si="9"/>
        <v>11105</v>
      </c>
      <c r="G37" s="442"/>
      <c r="H37" s="442"/>
      <c r="I37" s="442"/>
      <c r="J37" s="442"/>
      <c r="K37" s="442"/>
      <c r="L37" s="442"/>
      <c r="M37" s="442"/>
      <c r="N37" s="442"/>
      <c r="O37" s="442"/>
      <c r="P37" s="442"/>
      <c r="Q37" s="442"/>
      <c r="R37" s="442"/>
      <c r="S37" s="442"/>
      <c r="T37" s="442"/>
      <c r="U37" s="442"/>
      <c r="V37" s="442"/>
      <c r="W37" s="442"/>
      <c r="X37" s="442"/>
    </row>
    <row r="38" spans="1:24" ht="18.75" x14ac:dyDescent="0.3">
      <c r="A38" s="455" t="s">
        <v>420</v>
      </c>
      <c r="B38" s="456" t="s">
        <v>421</v>
      </c>
      <c r="C38" s="581">
        <f>C33+C37</f>
        <v>1824426.9562662751</v>
      </c>
      <c r="D38" s="581">
        <f t="shared" ref="D38:F38" si="10">D33+D37</f>
        <v>1824426.9562662751</v>
      </c>
      <c r="E38" s="581">
        <f t="shared" si="10"/>
        <v>1824426.9562662751</v>
      </c>
      <c r="F38" s="581">
        <f t="shared" si="10"/>
        <v>1824426.9562662751</v>
      </c>
      <c r="G38" s="442"/>
      <c r="H38" s="442"/>
      <c r="I38" s="442"/>
      <c r="J38" s="442"/>
      <c r="K38" s="442"/>
      <c r="L38" s="442"/>
      <c r="M38" s="442"/>
      <c r="N38" s="442"/>
      <c r="O38" s="442"/>
      <c r="P38" s="442"/>
      <c r="Q38" s="442"/>
      <c r="R38" s="442"/>
      <c r="S38" s="442"/>
      <c r="T38" s="442"/>
      <c r="U38" s="442"/>
      <c r="V38" s="442"/>
      <c r="W38" s="442"/>
      <c r="X38" s="442"/>
    </row>
    <row r="39" spans="1:24" ht="18.75" x14ac:dyDescent="0.25">
      <c r="A39" s="457" t="s">
        <v>660</v>
      </c>
      <c r="B39" s="458"/>
      <c r="C39" s="585">
        <f>C33-C13</f>
        <v>-97084.107733724872</v>
      </c>
      <c r="D39" s="585">
        <f t="shared" ref="D39:F39" si="11">D33-D13</f>
        <v>-100815.21998972492</v>
      </c>
      <c r="E39" s="585">
        <f t="shared" si="11"/>
        <v>-100815.21998972492</v>
      </c>
      <c r="F39" s="585">
        <f t="shared" si="11"/>
        <v>-100815.21998972492</v>
      </c>
      <c r="G39" s="442"/>
      <c r="H39" s="442"/>
      <c r="I39" s="442"/>
      <c r="J39" s="442"/>
      <c r="K39" s="442"/>
      <c r="L39" s="442"/>
      <c r="M39" s="442"/>
      <c r="N39" s="442"/>
      <c r="O39" s="442"/>
      <c r="P39" s="442"/>
      <c r="Q39" s="442"/>
      <c r="R39" s="442"/>
      <c r="S39" s="442"/>
      <c r="T39" s="442"/>
      <c r="U39" s="442"/>
      <c r="V39" s="442"/>
      <c r="W39" s="442"/>
      <c r="X39" s="442"/>
    </row>
    <row r="40" spans="1:24" ht="18.75" x14ac:dyDescent="0.25">
      <c r="A40" s="457" t="s">
        <v>661</v>
      </c>
      <c r="B40" s="458"/>
      <c r="C40" s="585">
        <f>C37-C17</f>
        <v>-296446</v>
      </c>
      <c r="D40" s="585">
        <f t="shared" ref="D40:F40" si="12">D37-D17</f>
        <v>-114895</v>
      </c>
      <c r="E40" s="585">
        <f t="shared" si="12"/>
        <v>-114895</v>
      </c>
      <c r="F40" s="585">
        <f t="shared" si="12"/>
        <v>-114895</v>
      </c>
      <c r="G40" s="442"/>
      <c r="H40" s="442"/>
      <c r="I40" s="442"/>
      <c r="J40" s="442"/>
      <c r="K40" s="442"/>
      <c r="L40" s="442"/>
      <c r="M40" s="442"/>
      <c r="N40" s="442"/>
      <c r="O40" s="442"/>
      <c r="P40" s="442"/>
      <c r="Q40" s="442"/>
      <c r="R40" s="442"/>
      <c r="S40" s="442"/>
      <c r="T40" s="442"/>
      <c r="U40" s="442"/>
      <c r="V40" s="442"/>
      <c r="W40" s="442"/>
      <c r="X40" s="442"/>
    </row>
    <row r="41" spans="1:24" ht="18.75" x14ac:dyDescent="0.3">
      <c r="A41" s="432" t="s">
        <v>426</v>
      </c>
      <c r="B41" s="440" t="s">
        <v>427</v>
      </c>
      <c r="C41" s="579">
        <f>'2.Bevételek_részletes'!X40</f>
        <v>0</v>
      </c>
      <c r="D41" s="578">
        <f>C41</f>
        <v>0</v>
      </c>
      <c r="E41" s="578">
        <f t="shared" si="7"/>
        <v>0</v>
      </c>
      <c r="F41" s="578">
        <f t="shared" si="7"/>
        <v>0</v>
      </c>
      <c r="G41" s="442"/>
      <c r="H41" s="442"/>
      <c r="I41" s="442"/>
      <c r="J41" s="442"/>
      <c r="K41" s="442"/>
      <c r="L41" s="442"/>
      <c r="M41" s="442"/>
      <c r="N41" s="442"/>
      <c r="O41" s="442"/>
      <c r="P41" s="442"/>
      <c r="Q41" s="442"/>
      <c r="R41" s="442"/>
      <c r="S41" s="442"/>
      <c r="T41" s="442"/>
      <c r="U41" s="442"/>
      <c r="V41" s="442"/>
      <c r="W41" s="442"/>
      <c r="X41" s="442"/>
    </row>
    <row r="42" spans="1:24" ht="18.75" x14ac:dyDescent="0.3">
      <c r="A42" s="439" t="s">
        <v>651</v>
      </c>
      <c r="B42" s="440" t="s">
        <v>652</v>
      </c>
      <c r="C42" s="579"/>
      <c r="D42" s="578">
        <f t="shared" ref="D42" si="13">C42</f>
        <v>0</v>
      </c>
      <c r="E42" s="578">
        <f t="shared" ref="E42:E43" si="14">D42</f>
        <v>0</v>
      </c>
      <c r="F42" s="578">
        <f t="shared" ref="F42:F43" si="15">E42</f>
        <v>0</v>
      </c>
      <c r="G42" s="442"/>
      <c r="H42" s="442"/>
      <c r="I42" s="442"/>
      <c r="J42" s="442"/>
      <c r="K42" s="442"/>
      <c r="L42" s="442"/>
      <c r="M42" s="442"/>
      <c r="N42" s="442"/>
      <c r="O42" s="442"/>
      <c r="P42" s="442"/>
      <c r="Q42" s="442"/>
      <c r="R42" s="442"/>
      <c r="S42" s="442"/>
      <c r="T42" s="442"/>
      <c r="U42" s="442"/>
      <c r="V42" s="442"/>
      <c r="W42" s="442"/>
      <c r="X42" s="442"/>
    </row>
    <row r="43" spans="1:24" ht="18.75" x14ac:dyDescent="0.3">
      <c r="A43" s="430" t="s">
        <v>431</v>
      </c>
      <c r="B43" s="440" t="s">
        <v>432</v>
      </c>
      <c r="C43" s="579">
        <f>'2.Bevételek_részletes'!X44</f>
        <v>415449</v>
      </c>
      <c r="D43" s="578">
        <f>C43-177820</f>
        <v>237629</v>
      </c>
      <c r="E43" s="578">
        <f t="shared" si="14"/>
        <v>237629</v>
      </c>
      <c r="F43" s="578">
        <f t="shared" si="15"/>
        <v>237629</v>
      </c>
      <c r="G43" s="442"/>
      <c r="H43" s="442"/>
      <c r="I43" s="442"/>
      <c r="J43" s="442"/>
      <c r="K43" s="442"/>
      <c r="L43" s="442"/>
      <c r="M43" s="442"/>
      <c r="N43" s="442"/>
      <c r="O43" s="442"/>
      <c r="P43" s="442"/>
      <c r="Q43" s="442"/>
      <c r="R43" s="442"/>
      <c r="S43" s="442"/>
      <c r="T43" s="442"/>
      <c r="U43" s="442"/>
      <c r="V43" s="442"/>
      <c r="W43" s="442"/>
      <c r="X43" s="442"/>
    </row>
    <row r="44" spans="1:24" ht="18.75" x14ac:dyDescent="0.3">
      <c r="A44" s="430" t="s">
        <v>516</v>
      </c>
      <c r="B44" s="440" t="s">
        <v>434</v>
      </c>
      <c r="C44" s="579"/>
      <c r="D44" s="578">
        <f>C44</f>
        <v>0</v>
      </c>
      <c r="E44" s="578">
        <f t="shared" si="7"/>
        <v>0</v>
      </c>
      <c r="F44" s="578">
        <f t="shared" si="7"/>
        <v>0</v>
      </c>
      <c r="G44" s="442"/>
      <c r="H44" s="442"/>
      <c r="I44" s="442"/>
      <c r="J44" s="442"/>
      <c r="K44" s="442"/>
      <c r="L44" s="442"/>
      <c r="M44" s="442"/>
      <c r="N44" s="442"/>
      <c r="O44" s="442"/>
      <c r="P44" s="442"/>
      <c r="Q44" s="442"/>
      <c r="R44" s="442"/>
      <c r="S44" s="442"/>
      <c r="T44" s="442"/>
      <c r="U44" s="442"/>
      <c r="V44" s="442"/>
      <c r="W44" s="442"/>
      <c r="X44" s="442"/>
    </row>
    <row r="45" spans="1:24" ht="18.75" x14ac:dyDescent="0.3">
      <c r="A45" s="432" t="s">
        <v>437</v>
      </c>
      <c r="B45" s="440" t="s">
        <v>438</v>
      </c>
      <c r="C45" s="586">
        <f>SUM(C41:C44)</f>
        <v>415449</v>
      </c>
      <c r="D45" s="586">
        <f t="shared" ref="D45:F45" si="16">SUM(D41:D44)</f>
        <v>237629</v>
      </c>
      <c r="E45" s="586">
        <f t="shared" si="16"/>
        <v>237629</v>
      </c>
      <c r="F45" s="586">
        <f t="shared" si="16"/>
        <v>237629</v>
      </c>
      <c r="G45" s="442"/>
      <c r="H45" s="442"/>
      <c r="I45" s="442"/>
      <c r="J45" s="442"/>
      <c r="K45" s="442"/>
      <c r="L45" s="442"/>
      <c r="M45" s="442"/>
      <c r="N45" s="442"/>
      <c r="O45" s="442"/>
      <c r="P45" s="442"/>
      <c r="Q45" s="442"/>
      <c r="R45" s="442"/>
      <c r="S45" s="442"/>
      <c r="T45" s="442"/>
      <c r="U45" s="442"/>
      <c r="V45" s="442"/>
      <c r="W45" s="442"/>
      <c r="X45" s="442"/>
    </row>
    <row r="46" spans="1:24" ht="18.75" x14ac:dyDescent="0.3">
      <c r="A46" s="439" t="s">
        <v>653</v>
      </c>
      <c r="B46" s="440" t="s">
        <v>654</v>
      </c>
      <c r="C46" s="579"/>
      <c r="D46" s="578">
        <f>C46</f>
        <v>0</v>
      </c>
      <c r="E46" s="578">
        <f t="shared" si="7"/>
        <v>0</v>
      </c>
      <c r="F46" s="578">
        <f t="shared" si="7"/>
        <v>0</v>
      </c>
      <c r="G46" s="442"/>
      <c r="H46" s="442"/>
      <c r="I46" s="442"/>
      <c r="J46" s="442"/>
      <c r="K46" s="442"/>
      <c r="L46" s="442"/>
      <c r="M46" s="442"/>
      <c r="N46" s="442"/>
      <c r="O46" s="442"/>
      <c r="P46" s="442"/>
      <c r="Q46" s="442"/>
      <c r="R46" s="442"/>
      <c r="S46" s="442"/>
      <c r="T46" s="442"/>
      <c r="U46" s="442"/>
      <c r="V46" s="442"/>
      <c r="W46" s="442"/>
      <c r="X46" s="442"/>
    </row>
    <row r="47" spans="1:24" ht="18.75" x14ac:dyDescent="0.3">
      <c r="A47" s="432" t="s">
        <v>439</v>
      </c>
      <c r="B47" s="440" t="s">
        <v>440</v>
      </c>
      <c r="C47" s="579"/>
      <c r="D47" s="578">
        <f>C47</f>
        <v>0</v>
      </c>
      <c r="E47" s="578">
        <f t="shared" si="7"/>
        <v>0</v>
      </c>
      <c r="F47" s="578">
        <f t="shared" si="7"/>
        <v>0</v>
      </c>
      <c r="G47" s="442"/>
      <c r="H47" s="442"/>
      <c r="I47" s="442"/>
      <c r="J47" s="442"/>
      <c r="K47" s="442"/>
      <c r="L47" s="442"/>
      <c r="M47" s="442"/>
      <c r="N47" s="442"/>
      <c r="O47" s="442"/>
      <c r="P47" s="442"/>
      <c r="Q47" s="442"/>
      <c r="R47" s="442"/>
      <c r="S47" s="442"/>
      <c r="T47" s="442"/>
      <c r="U47" s="442"/>
      <c r="V47" s="442"/>
      <c r="W47" s="442"/>
      <c r="X47" s="442"/>
    </row>
    <row r="48" spans="1:24" ht="19.5" thickBot="1" x14ac:dyDescent="0.35">
      <c r="A48" s="446" t="s">
        <v>441</v>
      </c>
      <c r="B48" s="447" t="s">
        <v>442</v>
      </c>
      <c r="C48" s="583">
        <f>C45+C46+C47</f>
        <v>415449</v>
      </c>
      <c r="D48" s="583">
        <f t="shared" ref="D48:F48" si="17">D45+D46+D47</f>
        <v>237629</v>
      </c>
      <c r="E48" s="583">
        <f t="shared" si="17"/>
        <v>237629</v>
      </c>
      <c r="F48" s="583">
        <f t="shared" si="17"/>
        <v>237629</v>
      </c>
      <c r="G48" s="442"/>
      <c r="H48" s="442"/>
      <c r="I48" s="442"/>
      <c r="J48" s="442"/>
      <c r="K48" s="442"/>
      <c r="L48" s="442"/>
      <c r="M48" s="442"/>
      <c r="N48" s="442"/>
      <c r="O48" s="442"/>
      <c r="P48" s="442"/>
      <c r="Q48" s="442"/>
      <c r="R48" s="442"/>
      <c r="S48" s="442"/>
      <c r="T48" s="442"/>
      <c r="U48" s="442"/>
      <c r="V48" s="442"/>
      <c r="W48" s="442"/>
      <c r="X48" s="442"/>
    </row>
    <row r="49" spans="1:24" ht="19.5" thickBot="1" x14ac:dyDescent="0.35">
      <c r="A49" s="448" t="s">
        <v>356</v>
      </c>
      <c r="B49" s="449"/>
      <c r="C49" s="584">
        <f>C48+C38</f>
        <v>2239875.9562662751</v>
      </c>
      <c r="D49" s="584">
        <f>D48+D38</f>
        <v>2062055.9562662751</v>
      </c>
      <c r="E49" s="584">
        <f t="shared" ref="E49:F49" si="18">E48+E38</f>
        <v>2062055.9562662751</v>
      </c>
      <c r="F49" s="584">
        <f t="shared" si="18"/>
        <v>2062055.9562662751</v>
      </c>
      <c r="G49" s="442"/>
      <c r="H49" s="442"/>
      <c r="I49" s="442"/>
      <c r="J49" s="442"/>
      <c r="K49" s="442"/>
      <c r="L49" s="442"/>
      <c r="M49" s="442"/>
      <c r="N49" s="442"/>
      <c r="O49" s="442"/>
      <c r="P49" s="442"/>
      <c r="Q49" s="442"/>
      <c r="R49" s="442"/>
      <c r="S49" s="442"/>
      <c r="T49" s="442"/>
      <c r="U49" s="442"/>
      <c r="V49" s="442"/>
      <c r="W49" s="442"/>
      <c r="X49" s="442"/>
    </row>
    <row r="50" spans="1:24" x14ac:dyDescent="0.25">
      <c r="B50" s="442"/>
      <c r="C50" s="459"/>
      <c r="D50" s="459"/>
      <c r="E50" s="459"/>
      <c r="F50" s="442"/>
      <c r="G50" s="442"/>
      <c r="H50" s="442"/>
      <c r="I50" s="442"/>
      <c r="J50" s="442"/>
      <c r="K50" s="442"/>
      <c r="L50" s="442"/>
      <c r="M50" s="442"/>
      <c r="N50" s="442"/>
      <c r="O50" s="442"/>
      <c r="P50" s="442"/>
      <c r="Q50" s="442"/>
      <c r="R50" s="442"/>
      <c r="S50" s="442"/>
      <c r="T50" s="442"/>
      <c r="U50" s="442"/>
      <c r="V50" s="442"/>
      <c r="W50" s="442"/>
      <c r="X50" s="442"/>
    </row>
    <row r="51" spans="1:24" x14ac:dyDescent="0.25">
      <c r="B51" s="442"/>
      <c r="C51" s="459">
        <f>C23-C49</f>
        <v>0.10773372510448098</v>
      </c>
      <c r="D51" s="459">
        <f>D23-D49</f>
        <v>0.21998972492292523</v>
      </c>
      <c r="E51" s="459">
        <f t="shared" ref="E51:F51" si="19">E23-E49</f>
        <v>0.21998972492292523</v>
      </c>
      <c r="F51" s="459">
        <f t="shared" si="19"/>
        <v>0.21998972492292523</v>
      </c>
      <c r="G51" s="442"/>
      <c r="H51" s="442"/>
      <c r="I51" s="442"/>
      <c r="J51" s="442"/>
      <c r="K51" s="442"/>
      <c r="L51" s="442"/>
      <c r="M51" s="442"/>
      <c r="N51" s="442"/>
      <c r="O51" s="442"/>
      <c r="P51" s="442"/>
      <c r="Q51" s="442"/>
      <c r="R51" s="442"/>
      <c r="S51" s="442"/>
      <c r="T51" s="442"/>
      <c r="U51" s="442"/>
      <c r="V51" s="442"/>
      <c r="W51" s="442"/>
      <c r="X51" s="442"/>
    </row>
    <row r="52" spans="1:24" x14ac:dyDescent="0.25">
      <c r="B52" s="442"/>
      <c r="C52" s="459"/>
      <c r="D52" s="442"/>
      <c r="E52" s="442"/>
      <c r="F52" s="442"/>
      <c r="G52" s="442"/>
      <c r="H52" s="442"/>
      <c r="I52" s="442"/>
      <c r="J52" s="442"/>
      <c r="K52" s="442"/>
      <c r="L52" s="442"/>
      <c r="M52" s="442"/>
      <c r="N52" s="442"/>
      <c r="O52" s="442"/>
      <c r="P52" s="442"/>
      <c r="Q52" s="442"/>
      <c r="R52" s="442"/>
      <c r="S52" s="442"/>
      <c r="T52" s="442"/>
      <c r="U52" s="442"/>
      <c r="V52" s="442"/>
      <c r="W52" s="442"/>
      <c r="X52" s="442"/>
    </row>
    <row r="53" spans="1:24" x14ac:dyDescent="0.25">
      <c r="B53" s="442"/>
      <c r="C53" s="442"/>
      <c r="D53" s="442"/>
      <c r="E53" s="442"/>
      <c r="F53" s="442"/>
      <c r="G53" s="442"/>
      <c r="H53" s="442"/>
      <c r="I53" s="442"/>
      <c r="J53" s="442"/>
      <c r="K53" s="442"/>
      <c r="L53" s="442"/>
      <c r="M53" s="442"/>
      <c r="N53" s="442"/>
      <c r="O53" s="442"/>
      <c r="P53" s="442"/>
      <c r="Q53" s="442"/>
      <c r="R53" s="442"/>
      <c r="S53" s="442"/>
      <c r="T53" s="442"/>
      <c r="U53" s="442"/>
      <c r="V53" s="442"/>
      <c r="W53" s="442"/>
      <c r="X53" s="442"/>
    </row>
    <row r="54" spans="1:24" x14ac:dyDescent="0.25">
      <c r="B54" s="442"/>
      <c r="C54" s="442"/>
      <c r="D54" s="442"/>
      <c r="E54" s="442"/>
      <c r="F54" s="442"/>
      <c r="G54" s="442"/>
      <c r="H54" s="442"/>
      <c r="I54" s="442"/>
      <c r="J54" s="442"/>
      <c r="K54" s="442"/>
      <c r="L54" s="442"/>
      <c r="M54" s="442"/>
      <c r="N54" s="442"/>
      <c r="O54" s="442"/>
      <c r="P54" s="442"/>
      <c r="Q54" s="442"/>
      <c r="R54" s="442"/>
      <c r="S54" s="442"/>
      <c r="T54" s="442"/>
      <c r="U54" s="442"/>
      <c r="V54" s="442"/>
      <c r="W54" s="442"/>
      <c r="X54" s="442"/>
    </row>
    <row r="55" spans="1:24" x14ac:dyDescent="0.25">
      <c r="B55" s="442"/>
      <c r="C55" s="442"/>
      <c r="D55" s="442"/>
      <c r="E55" s="442"/>
      <c r="F55" s="442"/>
      <c r="G55" s="442"/>
      <c r="H55" s="442"/>
      <c r="I55" s="442"/>
      <c r="J55" s="442"/>
      <c r="K55" s="442"/>
      <c r="L55" s="442"/>
      <c r="M55" s="442"/>
      <c r="N55" s="442"/>
      <c r="O55" s="442"/>
      <c r="P55" s="442"/>
      <c r="Q55" s="442"/>
      <c r="R55" s="442"/>
      <c r="S55" s="442"/>
      <c r="T55" s="442"/>
      <c r="U55" s="442"/>
      <c r="V55" s="442"/>
      <c r="W55" s="442"/>
      <c r="X55" s="442"/>
    </row>
    <row r="56" spans="1:24" x14ac:dyDescent="0.25">
      <c r="B56" s="442"/>
      <c r="C56" s="442"/>
      <c r="D56" s="442"/>
      <c r="E56" s="442"/>
      <c r="F56" s="442"/>
      <c r="G56" s="442"/>
      <c r="H56" s="442"/>
      <c r="I56" s="442"/>
      <c r="J56" s="442"/>
      <c r="K56" s="442"/>
      <c r="L56" s="442"/>
      <c r="M56" s="442"/>
      <c r="N56" s="442"/>
      <c r="O56" s="442"/>
      <c r="P56" s="442"/>
      <c r="Q56" s="442"/>
      <c r="R56" s="442"/>
      <c r="S56" s="442"/>
      <c r="T56" s="442"/>
      <c r="U56" s="442"/>
      <c r="V56" s="442"/>
      <c r="W56" s="442"/>
      <c r="X56" s="442"/>
    </row>
    <row r="57" spans="1:24" x14ac:dyDescent="0.25">
      <c r="B57" s="442"/>
      <c r="C57" s="442"/>
      <c r="D57" s="442"/>
      <c r="E57" s="442"/>
      <c r="F57" s="442"/>
      <c r="G57" s="442"/>
      <c r="H57" s="442"/>
      <c r="I57" s="442"/>
      <c r="J57" s="442"/>
      <c r="K57" s="442"/>
      <c r="L57" s="442"/>
      <c r="M57" s="442"/>
      <c r="N57" s="442"/>
      <c r="O57" s="442"/>
      <c r="P57" s="442"/>
      <c r="Q57" s="442"/>
      <c r="R57" s="442"/>
      <c r="S57" s="442"/>
      <c r="T57" s="442"/>
      <c r="U57" s="442"/>
      <c r="V57" s="442"/>
      <c r="W57" s="442"/>
      <c r="X57" s="442"/>
    </row>
    <row r="58" spans="1:24" x14ac:dyDescent="0.25">
      <c r="B58" s="442"/>
      <c r="C58" s="442"/>
      <c r="D58" s="442"/>
      <c r="E58" s="442"/>
      <c r="F58" s="442"/>
      <c r="G58" s="442"/>
      <c r="H58" s="442"/>
      <c r="I58" s="442"/>
      <c r="J58" s="442"/>
      <c r="K58" s="442"/>
      <c r="L58" s="442"/>
      <c r="M58" s="442"/>
      <c r="N58" s="442"/>
      <c r="O58" s="442"/>
      <c r="P58" s="442"/>
      <c r="Q58" s="442"/>
      <c r="R58" s="442"/>
      <c r="S58" s="442"/>
      <c r="T58" s="442"/>
      <c r="U58" s="442"/>
      <c r="V58" s="442"/>
      <c r="W58" s="442"/>
      <c r="X58" s="442"/>
    </row>
    <row r="59" spans="1:24" x14ac:dyDescent="0.25">
      <c r="B59" s="442"/>
      <c r="C59" s="442"/>
      <c r="D59" s="442"/>
      <c r="E59" s="442"/>
      <c r="F59" s="442"/>
      <c r="G59" s="442"/>
      <c r="H59" s="442"/>
      <c r="I59" s="442"/>
      <c r="J59" s="442"/>
      <c r="K59" s="442"/>
      <c r="L59" s="442"/>
      <c r="M59" s="442"/>
      <c r="N59" s="442"/>
      <c r="O59" s="442"/>
      <c r="P59" s="442"/>
      <c r="Q59" s="442"/>
      <c r="R59" s="442"/>
      <c r="S59" s="442"/>
      <c r="T59" s="442"/>
      <c r="U59" s="442"/>
      <c r="V59" s="442"/>
      <c r="W59" s="442"/>
      <c r="X59" s="442"/>
    </row>
    <row r="60" spans="1:24" x14ac:dyDescent="0.25">
      <c r="B60" s="442"/>
      <c r="C60" s="442"/>
      <c r="D60" s="442"/>
      <c r="E60" s="442"/>
      <c r="F60" s="442"/>
      <c r="G60" s="442"/>
      <c r="H60" s="442"/>
      <c r="I60" s="442"/>
      <c r="J60" s="442"/>
      <c r="K60" s="442"/>
      <c r="L60" s="442"/>
      <c r="M60" s="442"/>
      <c r="N60" s="442"/>
      <c r="O60" s="442"/>
      <c r="P60" s="442"/>
      <c r="Q60" s="442"/>
      <c r="R60" s="442"/>
      <c r="S60" s="442"/>
      <c r="T60" s="442"/>
      <c r="U60" s="442"/>
      <c r="V60" s="442"/>
      <c r="W60" s="442"/>
      <c r="X60" s="442"/>
    </row>
    <row r="61" spans="1:24" x14ac:dyDescent="0.25">
      <c r="B61" s="442"/>
      <c r="C61" s="442"/>
      <c r="D61" s="442"/>
      <c r="E61" s="442"/>
      <c r="F61" s="442"/>
      <c r="G61" s="442"/>
      <c r="H61" s="442"/>
      <c r="I61" s="442"/>
      <c r="J61" s="442"/>
      <c r="K61" s="442"/>
      <c r="L61" s="442"/>
      <c r="M61" s="442"/>
      <c r="N61" s="442"/>
      <c r="O61" s="442"/>
      <c r="P61" s="442"/>
      <c r="Q61" s="442"/>
      <c r="R61" s="442"/>
      <c r="S61" s="442"/>
      <c r="T61" s="442"/>
      <c r="U61" s="442"/>
      <c r="V61" s="442"/>
      <c r="W61" s="442"/>
      <c r="X61" s="442"/>
    </row>
    <row r="62" spans="1:24" x14ac:dyDescent="0.25">
      <c r="B62" s="442"/>
      <c r="C62" s="442"/>
      <c r="D62" s="442"/>
      <c r="E62" s="442"/>
      <c r="F62" s="442"/>
      <c r="G62" s="442"/>
      <c r="H62" s="442"/>
      <c r="I62" s="442"/>
      <c r="J62" s="442"/>
      <c r="K62" s="442"/>
      <c r="L62" s="442"/>
      <c r="M62" s="442"/>
      <c r="N62" s="442"/>
      <c r="O62" s="442"/>
      <c r="P62" s="442"/>
      <c r="Q62" s="442"/>
      <c r="R62" s="442"/>
      <c r="S62" s="442"/>
      <c r="T62" s="442"/>
      <c r="U62" s="442"/>
      <c r="V62" s="442"/>
      <c r="W62" s="442"/>
      <c r="X62" s="442"/>
    </row>
    <row r="63" spans="1:24" x14ac:dyDescent="0.25">
      <c r="B63" s="442"/>
      <c r="C63" s="442"/>
      <c r="D63" s="442"/>
      <c r="E63" s="442"/>
      <c r="F63" s="442"/>
      <c r="G63" s="442"/>
      <c r="H63" s="442"/>
      <c r="I63" s="442"/>
      <c r="J63" s="442"/>
      <c r="K63" s="442"/>
      <c r="L63" s="442"/>
      <c r="M63" s="442"/>
      <c r="N63" s="442"/>
      <c r="O63" s="442"/>
      <c r="P63" s="442"/>
      <c r="Q63" s="442"/>
      <c r="R63" s="442"/>
      <c r="S63" s="442"/>
      <c r="T63" s="442"/>
      <c r="U63" s="442"/>
      <c r="V63" s="442"/>
      <c r="W63" s="442"/>
      <c r="X63" s="442"/>
    </row>
    <row r="64" spans="1:24" x14ac:dyDescent="0.25">
      <c r="B64" s="442"/>
      <c r="C64" s="442"/>
      <c r="D64" s="442"/>
      <c r="E64" s="442"/>
      <c r="F64" s="442"/>
      <c r="G64" s="442"/>
      <c r="H64" s="442"/>
      <c r="I64" s="442"/>
      <c r="J64" s="442"/>
      <c r="K64" s="442"/>
      <c r="L64" s="442"/>
      <c r="M64" s="442"/>
      <c r="N64" s="442"/>
      <c r="O64" s="442"/>
      <c r="P64" s="442"/>
      <c r="Q64" s="442"/>
      <c r="R64" s="442"/>
      <c r="S64" s="442"/>
      <c r="T64" s="442"/>
      <c r="U64" s="442"/>
      <c r="V64" s="442"/>
      <c r="W64" s="442"/>
      <c r="X64" s="442"/>
    </row>
    <row r="65" spans="2:24" x14ac:dyDescent="0.25">
      <c r="B65" s="442"/>
      <c r="C65" s="442"/>
      <c r="D65" s="442"/>
      <c r="E65" s="442"/>
      <c r="F65" s="442"/>
      <c r="G65" s="442"/>
      <c r="H65" s="442"/>
      <c r="I65" s="442"/>
      <c r="J65" s="442"/>
      <c r="K65" s="442"/>
      <c r="L65" s="442"/>
      <c r="M65" s="442"/>
      <c r="N65" s="442"/>
      <c r="O65" s="442"/>
      <c r="P65" s="442"/>
      <c r="Q65" s="442"/>
      <c r="R65" s="442"/>
      <c r="S65" s="442"/>
      <c r="T65" s="442"/>
      <c r="U65" s="442"/>
      <c r="V65" s="442"/>
      <c r="W65" s="442"/>
      <c r="X65" s="442"/>
    </row>
    <row r="66" spans="2:24" x14ac:dyDescent="0.25">
      <c r="B66" s="442"/>
      <c r="C66" s="442"/>
      <c r="D66" s="442"/>
      <c r="E66" s="442"/>
      <c r="F66" s="442"/>
      <c r="G66" s="442"/>
      <c r="H66" s="442"/>
      <c r="I66" s="442"/>
      <c r="J66" s="442"/>
      <c r="K66" s="442"/>
      <c r="L66" s="442"/>
      <c r="M66" s="442"/>
      <c r="N66" s="442"/>
      <c r="O66" s="442"/>
      <c r="P66" s="442"/>
      <c r="Q66" s="442"/>
      <c r="R66" s="442"/>
      <c r="S66" s="442"/>
      <c r="T66" s="442"/>
      <c r="U66" s="442"/>
      <c r="V66" s="442"/>
      <c r="W66" s="442"/>
      <c r="X66" s="442"/>
    </row>
    <row r="67" spans="2:24" x14ac:dyDescent="0.25">
      <c r="B67" s="442"/>
      <c r="C67" s="442"/>
      <c r="D67" s="442"/>
      <c r="E67" s="442"/>
      <c r="F67" s="442"/>
      <c r="G67" s="442"/>
      <c r="H67" s="442"/>
      <c r="I67" s="442"/>
      <c r="J67" s="442"/>
      <c r="K67" s="442"/>
      <c r="L67" s="442"/>
      <c r="M67" s="442"/>
      <c r="N67" s="442"/>
      <c r="O67" s="442"/>
      <c r="P67" s="442"/>
      <c r="Q67" s="442"/>
      <c r="R67" s="442"/>
      <c r="S67" s="442"/>
      <c r="T67" s="442"/>
      <c r="U67" s="442"/>
      <c r="V67" s="442"/>
      <c r="W67" s="442"/>
      <c r="X67" s="442"/>
    </row>
    <row r="68" spans="2:24" x14ac:dyDescent="0.25">
      <c r="B68" s="442"/>
      <c r="C68" s="442"/>
      <c r="D68" s="442"/>
      <c r="E68" s="442"/>
      <c r="F68" s="442"/>
      <c r="G68" s="442"/>
      <c r="H68" s="442"/>
      <c r="I68" s="442"/>
      <c r="J68" s="442"/>
      <c r="K68" s="442"/>
      <c r="L68" s="442"/>
      <c r="M68" s="442"/>
      <c r="N68" s="442"/>
      <c r="O68" s="442"/>
      <c r="P68" s="442"/>
      <c r="Q68" s="442"/>
      <c r="R68" s="442"/>
      <c r="S68" s="442"/>
      <c r="T68" s="442"/>
      <c r="U68" s="442"/>
      <c r="V68" s="442"/>
      <c r="W68" s="442"/>
      <c r="X68" s="442"/>
    </row>
    <row r="69" spans="2:24" x14ac:dyDescent="0.25">
      <c r="B69" s="442"/>
      <c r="C69" s="442"/>
      <c r="D69" s="442"/>
      <c r="E69" s="442"/>
      <c r="F69" s="442"/>
      <c r="G69" s="442"/>
      <c r="H69" s="442"/>
      <c r="I69" s="442"/>
      <c r="J69" s="442"/>
      <c r="K69" s="442"/>
      <c r="L69" s="442"/>
      <c r="M69" s="442"/>
      <c r="N69" s="442"/>
      <c r="O69" s="442"/>
      <c r="P69" s="442"/>
      <c r="Q69" s="442"/>
      <c r="R69" s="442"/>
      <c r="S69" s="442"/>
      <c r="T69" s="442"/>
      <c r="U69" s="442"/>
      <c r="V69" s="442"/>
      <c r="W69" s="442"/>
      <c r="X69" s="442"/>
    </row>
    <row r="70" spans="2:24" x14ac:dyDescent="0.25">
      <c r="B70" s="442"/>
      <c r="C70" s="442"/>
      <c r="D70" s="442"/>
      <c r="E70" s="442"/>
      <c r="F70" s="442"/>
      <c r="G70" s="442"/>
      <c r="H70" s="442"/>
      <c r="I70" s="442"/>
      <c r="J70" s="442"/>
      <c r="K70" s="442"/>
      <c r="L70" s="442"/>
      <c r="M70" s="442"/>
      <c r="N70" s="442"/>
      <c r="O70" s="442"/>
      <c r="P70" s="442"/>
      <c r="Q70" s="442"/>
      <c r="R70" s="442"/>
      <c r="S70" s="442"/>
      <c r="T70" s="442"/>
      <c r="U70" s="442"/>
      <c r="V70" s="442"/>
      <c r="W70" s="442"/>
      <c r="X70" s="442"/>
    </row>
    <row r="71" spans="2:24" x14ac:dyDescent="0.25">
      <c r="B71" s="442"/>
      <c r="C71" s="442"/>
      <c r="D71" s="442"/>
      <c r="E71" s="442"/>
      <c r="F71" s="442"/>
      <c r="G71" s="442"/>
      <c r="H71" s="442"/>
      <c r="I71" s="442"/>
      <c r="J71" s="442"/>
      <c r="K71" s="442"/>
      <c r="L71" s="442"/>
      <c r="M71" s="442"/>
      <c r="N71" s="442"/>
      <c r="O71" s="442"/>
      <c r="P71" s="442"/>
      <c r="Q71" s="442"/>
      <c r="R71" s="442"/>
      <c r="S71" s="442"/>
      <c r="T71" s="442"/>
      <c r="U71" s="442"/>
      <c r="V71" s="442"/>
      <c r="W71" s="442"/>
      <c r="X71" s="442"/>
    </row>
    <row r="72" spans="2:24" x14ac:dyDescent="0.25">
      <c r="B72" s="442"/>
      <c r="C72" s="442"/>
      <c r="D72" s="442"/>
      <c r="E72" s="442"/>
      <c r="F72" s="442"/>
      <c r="G72" s="442"/>
      <c r="H72" s="442"/>
      <c r="I72" s="442"/>
      <c r="J72" s="442"/>
      <c r="K72" s="442"/>
      <c r="L72" s="442"/>
      <c r="M72" s="442"/>
      <c r="N72" s="442"/>
      <c r="O72" s="442"/>
      <c r="P72" s="442"/>
      <c r="Q72" s="442"/>
      <c r="R72" s="442"/>
      <c r="S72" s="442"/>
      <c r="T72" s="442"/>
      <c r="U72" s="442"/>
      <c r="V72" s="442"/>
      <c r="W72" s="442"/>
      <c r="X72" s="442"/>
    </row>
    <row r="73" spans="2:24" x14ac:dyDescent="0.25">
      <c r="B73" s="442"/>
      <c r="C73" s="442"/>
      <c r="D73" s="442"/>
      <c r="E73" s="442"/>
      <c r="F73" s="442"/>
      <c r="G73" s="442"/>
      <c r="H73" s="442"/>
      <c r="I73" s="442"/>
      <c r="J73" s="442"/>
      <c r="K73" s="442"/>
      <c r="L73" s="442"/>
      <c r="M73" s="442"/>
      <c r="N73" s="442"/>
      <c r="O73" s="442"/>
      <c r="P73" s="442"/>
      <c r="Q73" s="442"/>
      <c r="R73" s="442"/>
      <c r="S73" s="442"/>
      <c r="T73" s="442"/>
      <c r="U73" s="442"/>
      <c r="V73" s="442"/>
      <c r="W73" s="442"/>
      <c r="X73" s="442"/>
    </row>
  </sheetData>
  <mergeCells count="5">
    <mergeCell ref="A1:F1"/>
    <mergeCell ref="A2:F2"/>
    <mergeCell ref="A3:F3"/>
    <mergeCell ref="A4:F4"/>
    <mergeCell ref="A25:F25"/>
  </mergeCells>
  <printOptions horizontalCentered="1"/>
  <pageMargins left="0.31496062992125984" right="0.43307086614173229" top="0.23622047244094491" bottom="0.23622047244094491" header="0.51181102362204722" footer="0.51181102362204722"/>
  <pageSetup paperSize="9" scale="7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Munka5">
    <tabColor theme="3" tint="0.39997558519241921"/>
    <pageSetUpPr fitToPage="1"/>
  </sheetPr>
  <dimension ref="A1:AI52"/>
  <sheetViews>
    <sheetView view="pageBreakPreview" zoomScale="40" zoomScaleSheetLayoutView="40" workbookViewId="0">
      <pane xSplit="2" ySplit="9" topLeftCell="D10" activePane="bottomRight" state="frozen"/>
      <selection activeCell="A2" sqref="A2:E2"/>
      <selection pane="topRight" activeCell="A2" sqref="A2:E2"/>
      <selection pane="bottomLeft" activeCell="A2" sqref="A2:E2"/>
      <selection pane="bottomRight" activeCell="A2" sqref="A2:E2"/>
    </sheetView>
  </sheetViews>
  <sheetFormatPr defaultColWidth="16.42578125" defaultRowHeight="18.75" x14ac:dyDescent="0.3"/>
  <cols>
    <col min="1" max="1" width="13.7109375" style="254" customWidth="1"/>
    <col min="2" max="2" width="87.5703125" style="254" customWidth="1"/>
    <col min="3" max="3" width="20.42578125" style="254" hidden="1" customWidth="1"/>
    <col min="4" max="7" width="20.42578125" style="687" customWidth="1"/>
    <col min="8" max="8" width="7.140625" style="254" hidden="1" customWidth="1"/>
    <col min="9" max="12" width="20.42578125" style="687" customWidth="1"/>
    <col min="13" max="13" width="8.85546875" style="254" hidden="1" customWidth="1"/>
    <col min="14" max="17" width="19.5703125" style="687" customWidth="1"/>
    <col min="18" max="18" width="10.7109375" style="254" hidden="1" customWidth="1"/>
    <col min="19" max="22" width="20.42578125" style="687" customWidth="1"/>
    <col min="23" max="23" width="8.28515625" style="254" hidden="1" customWidth="1"/>
    <col min="24" max="27" width="20.42578125" style="687" customWidth="1"/>
    <col min="28" max="28" width="7.140625" style="254" hidden="1" customWidth="1"/>
    <col min="29" max="32" width="18.42578125" style="687" customWidth="1"/>
    <col min="33" max="265" width="9.140625" style="254" customWidth="1"/>
    <col min="266" max="266" width="92.5703125" style="254" customWidth="1"/>
    <col min="267" max="267" width="9.140625" style="254" customWidth="1"/>
    <col min="268" max="16384" width="16.42578125" style="254"/>
  </cols>
  <sheetData>
    <row r="1" spans="1:35" ht="27" customHeight="1" x14ac:dyDescent="0.4">
      <c r="A1" s="2414" t="str">
        <f>Tartalomjegyzék_2017!A1</f>
        <v>Pilisvörösvár Város Önkormányzata Képviselő-testületének 7/2018. (IV. 27.) önkormányzati rendelete</v>
      </c>
      <c r="B1" s="2414"/>
      <c r="C1" s="2414"/>
      <c r="D1" s="2414"/>
      <c r="E1" s="2414"/>
      <c r="F1" s="2414"/>
      <c r="G1" s="2414"/>
      <c r="H1" s="2414"/>
      <c r="I1" s="2414"/>
      <c r="J1" s="2414"/>
      <c r="K1" s="2414"/>
      <c r="L1" s="2414"/>
      <c r="M1" s="2414"/>
      <c r="N1" s="2414"/>
      <c r="O1" s="2414"/>
      <c r="P1" s="2414"/>
      <c r="Q1" s="2414"/>
      <c r="R1" s="2415"/>
      <c r="S1" s="2415"/>
      <c r="T1" s="2415"/>
      <c r="U1" s="2415"/>
      <c r="V1" s="2415"/>
      <c r="W1" s="2415"/>
      <c r="X1" s="2415"/>
      <c r="Y1" s="2415"/>
      <c r="Z1" s="2415"/>
      <c r="AA1" s="2415"/>
      <c r="AB1" s="2416"/>
      <c r="AC1" s="2416"/>
      <c r="AD1" s="2416"/>
      <c r="AE1" s="2416"/>
      <c r="AF1" s="2416"/>
    </row>
    <row r="2" spans="1:35" ht="8.25" customHeight="1" x14ac:dyDescent="0.4">
      <c r="A2" s="1717"/>
      <c r="B2" s="1717"/>
      <c r="C2" s="1717"/>
      <c r="D2" s="1718"/>
      <c r="E2" s="1718"/>
      <c r="F2" s="1718"/>
      <c r="G2" s="1718"/>
      <c r="H2" s="1717"/>
      <c r="I2" s="1718"/>
      <c r="J2" s="1718"/>
      <c r="K2" s="1718"/>
      <c r="L2" s="1718"/>
      <c r="M2" s="1717"/>
      <c r="N2" s="1718"/>
      <c r="O2" s="1718"/>
      <c r="P2" s="1718"/>
      <c r="Q2" s="1718"/>
      <c r="R2" s="1719"/>
      <c r="S2" s="1720"/>
      <c r="T2" s="1720"/>
      <c r="U2" s="1720"/>
      <c r="V2" s="1720"/>
      <c r="W2" s="1719"/>
      <c r="X2" s="1720"/>
      <c r="Y2" s="1720"/>
      <c r="Z2" s="1720"/>
      <c r="AA2" s="1720"/>
      <c r="AB2" s="294"/>
      <c r="AC2" s="1721"/>
      <c r="AD2" s="1721"/>
      <c r="AE2" s="1721"/>
      <c r="AF2" s="1721"/>
    </row>
    <row r="3" spans="1:35" ht="27.75" customHeight="1" x14ac:dyDescent="0.4">
      <c r="A3" s="2414" t="str">
        <f>'2.Kiadások_részletes '!A3:AB3</f>
        <v>az Önkormányzat  2017. évi zárszámadásáról</v>
      </c>
      <c r="B3" s="2414"/>
      <c r="C3" s="2414"/>
      <c r="D3" s="2414"/>
      <c r="E3" s="2414"/>
      <c r="F3" s="2414"/>
      <c r="G3" s="2414"/>
      <c r="H3" s="2414"/>
      <c r="I3" s="2414"/>
      <c r="J3" s="2414"/>
      <c r="K3" s="2414"/>
      <c r="L3" s="2414"/>
      <c r="M3" s="2414"/>
      <c r="N3" s="2414"/>
      <c r="O3" s="2414"/>
      <c r="P3" s="2414"/>
      <c r="Q3" s="2414"/>
      <c r="R3" s="2415"/>
      <c r="S3" s="2415"/>
      <c r="T3" s="2415"/>
      <c r="U3" s="2415"/>
      <c r="V3" s="2415"/>
      <c r="W3" s="2415"/>
      <c r="X3" s="2415"/>
      <c r="Y3" s="2415"/>
      <c r="Z3" s="2415"/>
      <c r="AA3" s="2415"/>
      <c r="AB3" s="2416"/>
      <c r="AC3" s="2416"/>
      <c r="AD3" s="2416"/>
      <c r="AE3" s="2416"/>
      <c r="AF3" s="2416"/>
    </row>
    <row r="4" spans="1:35" ht="9.75" customHeight="1" x14ac:dyDescent="0.4">
      <c r="A4" s="1717"/>
      <c r="B4" s="1717"/>
      <c r="C4" s="1717"/>
      <c r="D4" s="1718"/>
      <c r="E4" s="1718"/>
      <c r="F4" s="1718"/>
      <c r="G4" s="1718"/>
      <c r="H4" s="1717"/>
      <c r="I4" s="1718"/>
      <c r="J4" s="1718"/>
      <c r="K4" s="1718"/>
      <c r="L4" s="1718"/>
      <c r="M4" s="1717"/>
      <c r="N4" s="1718"/>
      <c r="O4" s="1718"/>
      <c r="P4" s="1718"/>
      <c r="Q4" s="1718"/>
      <c r="R4" s="1719"/>
      <c r="S4" s="1720"/>
      <c r="T4" s="1720"/>
      <c r="U4" s="1720"/>
      <c r="V4" s="1720"/>
      <c r="W4" s="1719"/>
      <c r="X4" s="1720"/>
      <c r="Y4" s="1720"/>
      <c r="Z4" s="1720"/>
      <c r="AA4" s="1720"/>
      <c r="AB4" s="294"/>
      <c r="AC4" s="1721"/>
      <c r="AD4" s="1721"/>
      <c r="AE4" s="1721"/>
      <c r="AF4" s="1721"/>
    </row>
    <row r="5" spans="1:35" ht="26.25" customHeight="1" x14ac:dyDescent="0.4">
      <c r="A5" s="2414" t="str">
        <f>Tartalomjegyzék_2017!B10</f>
        <v xml:space="preserve">GESZ, Pilisvörösvár és Intézményei működési és felhalmozási célú bevételi és kiadási előirányzatok részletes bemutatása </v>
      </c>
      <c r="B5" s="2414"/>
      <c r="C5" s="2414"/>
      <c r="D5" s="2414"/>
      <c r="E5" s="2414"/>
      <c r="F5" s="2414"/>
      <c r="G5" s="2414"/>
      <c r="H5" s="2414"/>
      <c r="I5" s="2414"/>
      <c r="J5" s="2414"/>
      <c r="K5" s="2414"/>
      <c r="L5" s="2414"/>
      <c r="M5" s="2414"/>
      <c r="N5" s="2414"/>
      <c r="O5" s="2414"/>
      <c r="P5" s="2414"/>
      <c r="Q5" s="2414"/>
      <c r="R5" s="2415"/>
      <c r="S5" s="2415"/>
      <c r="T5" s="2415"/>
      <c r="U5" s="2415"/>
      <c r="V5" s="2415"/>
      <c r="W5" s="2415"/>
      <c r="X5" s="2415"/>
      <c r="Y5" s="2415"/>
      <c r="Z5" s="2415"/>
      <c r="AA5" s="2415"/>
      <c r="AB5" s="2416"/>
      <c r="AC5" s="2416"/>
      <c r="AD5" s="2416"/>
      <c r="AE5" s="2416"/>
      <c r="AF5" s="2416"/>
      <c r="AG5" s="807"/>
      <c r="AH5" s="807"/>
      <c r="AI5" s="807"/>
    </row>
    <row r="6" spans="1:35" ht="26.25" x14ac:dyDescent="0.3">
      <c r="A6" s="250"/>
      <c r="B6" s="250"/>
      <c r="C6" s="250"/>
      <c r="D6" s="686"/>
      <c r="E6" s="686"/>
      <c r="F6" s="686"/>
      <c r="G6" s="686"/>
      <c r="H6" s="250"/>
      <c r="I6" s="686"/>
      <c r="J6" s="686"/>
      <c r="K6" s="686"/>
      <c r="L6" s="686"/>
      <c r="M6" s="250"/>
      <c r="N6" s="686"/>
      <c r="O6" s="686"/>
      <c r="P6" s="686"/>
      <c r="Q6" s="686"/>
      <c r="R6" s="251"/>
      <c r="S6" s="688"/>
      <c r="T6" s="688"/>
      <c r="U6" s="688"/>
      <c r="V6" s="688"/>
      <c r="W6" s="251"/>
      <c r="X6" s="688"/>
      <c r="Y6" s="688"/>
      <c r="Z6" s="688"/>
      <c r="AA6" s="688"/>
      <c r="AC6" s="254"/>
      <c r="AE6" s="856"/>
      <c r="AF6" s="1715" t="s">
        <v>12</v>
      </c>
      <c r="AG6" s="608"/>
      <c r="AH6" s="608"/>
      <c r="AI6" s="608"/>
    </row>
    <row r="7" spans="1:35" ht="27" thickBot="1" x14ac:dyDescent="0.45">
      <c r="A7" s="608"/>
      <c r="B7" s="608"/>
      <c r="C7" s="608"/>
      <c r="D7" s="686"/>
      <c r="E7" s="686"/>
      <c r="F7" s="686"/>
      <c r="G7" s="686"/>
      <c r="H7" s="608"/>
      <c r="I7" s="686"/>
      <c r="J7" s="686"/>
      <c r="K7" s="686"/>
      <c r="L7" s="686"/>
      <c r="M7" s="608"/>
      <c r="N7" s="686"/>
      <c r="O7" s="686"/>
      <c r="P7" s="686"/>
      <c r="Q7" s="686"/>
      <c r="R7" s="251"/>
      <c r="S7" s="688"/>
      <c r="T7" s="688"/>
      <c r="U7" s="688"/>
      <c r="V7" s="688"/>
      <c r="W7" s="251"/>
      <c r="X7" s="688"/>
      <c r="Y7" s="688"/>
      <c r="Z7" s="688"/>
      <c r="AA7" s="688"/>
      <c r="AC7" s="254"/>
      <c r="AE7" s="856"/>
      <c r="AF7" s="1716" t="s">
        <v>323</v>
      </c>
      <c r="AG7" s="608"/>
      <c r="AH7" s="608"/>
      <c r="AI7" s="608"/>
    </row>
    <row r="8" spans="1:35" s="294" customFormat="1" ht="27" thickBot="1" x14ac:dyDescent="0.45">
      <c r="A8" s="1644"/>
      <c r="B8" s="1645"/>
      <c r="C8" s="1646"/>
      <c r="D8" s="2412" t="s">
        <v>609</v>
      </c>
      <c r="E8" s="2413"/>
      <c r="F8" s="2413"/>
      <c r="G8" s="2413"/>
      <c r="H8" s="1646"/>
      <c r="I8" s="2412" t="s">
        <v>1136</v>
      </c>
      <c r="J8" s="2413"/>
      <c r="K8" s="2413"/>
      <c r="L8" s="2413"/>
      <c r="M8" s="1646"/>
      <c r="N8" s="2412" t="s">
        <v>566</v>
      </c>
      <c r="O8" s="2413"/>
      <c r="P8" s="2413"/>
      <c r="Q8" s="2413"/>
      <c r="R8" s="1646"/>
      <c r="S8" s="2412" t="s">
        <v>1137</v>
      </c>
      <c r="T8" s="2413"/>
      <c r="U8" s="2413"/>
      <c r="V8" s="2413"/>
      <c r="W8" s="1646"/>
      <c r="X8" s="2412" t="s">
        <v>361</v>
      </c>
      <c r="Y8" s="2413"/>
      <c r="Z8" s="2413"/>
      <c r="AA8" s="2413"/>
      <c r="AB8" s="1646"/>
      <c r="AC8" s="2412" t="s">
        <v>1178</v>
      </c>
      <c r="AD8" s="2413"/>
      <c r="AE8" s="2413"/>
      <c r="AF8" s="2413"/>
    </row>
    <row r="9" spans="1:35" s="641" customFormat="1" ht="171" customHeight="1" x14ac:dyDescent="0.3">
      <c r="A9" s="1635" t="s">
        <v>364</v>
      </c>
      <c r="B9" s="1636" t="s">
        <v>359</v>
      </c>
      <c r="C9" s="1637" t="s">
        <v>836</v>
      </c>
      <c r="D9" s="1638" t="s">
        <v>887</v>
      </c>
      <c r="E9" s="1639" t="s">
        <v>1060</v>
      </c>
      <c r="F9" s="1639" t="s">
        <v>1094</v>
      </c>
      <c r="G9" s="1631" t="s">
        <v>1084</v>
      </c>
      <c r="H9" s="1640" t="s">
        <v>837</v>
      </c>
      <c r="I9" s="1638" t="s">
        <v>888</v>
      </c>
      <c r="J9" s="1639" t="s">
        <v>1061</v>
      </c>
      <c r="K9" s="1639" t="s">
        <v>1095</v>
      </c>
      <c r="L9" s="1631" t="s">
        <v>1084</v>
      </c>
      <c r="M9" s="1641" t="s">
        <v>838</v>
      </c>
      <c r="N9" s="1642" t="s">
        <v>889</v>
      </c>
      <c r="O9" s="1639" t="s">
        <v>1062</v>
      </c>
      <c r="P9" s="1639" t="s">
        <v>1096</v>
      </c>
      <c r="Q9" s="1643" t="s">
        <v>1084</v>
      </c>
      <c r="R9" s="1637" t="s">
        <v>839</v>
      </c>
      <c r="S9" s="1638" t="s">
        <v>890</v>
      </c>
      <c r="T9" s="1639" t="s">
        <v>1063</v>
      </c>
      <c r="U9" s="1639" t="s">
        <v>1097</v>
      </c>
      <c r="V9" s="1631" t="s">
        <v>1084</v>
      </c>
      <c r="W9" s="1641" t="s">
        <v>840</v>
      </c>
      <c r="X9" s="1642" t="s">
        <v>891</v>
      </c>
      <c r="Y9" s="1639" t="s">
        <v>1064</v>
      </c>
      <c r="Z9" s="1639" t="s">
        <v>1098</v>
      </c>
      <c r="AA9" s="1643" t="s">
        <v>1084</v>
      </c>
      <c r="AB9" s="1637" t="s">
        <v>841</v>
      </c>
      <c r="AC9" s="1638" t="s">
        <v>892</v>
      </c>
      <c r="AD9" s="1639" t="s">
        <v>1065</v>
      </c>
      <c r="AE9" s="1639" t="s">
        <v>1099</v>
      </c>
      <c r="AF9" s="1631" t="s">
        <v>1084</v>
      </c>
    </row>
    <row r="10" spans="1:35" s="255" customFormat="1" ht="45" x14ac:dyDescent="0.35">
      <c r="A10" s="1647" t="s">
        <v>378</v>
      </c>
      <c r="B10" s="1648" t="s">
        <v>519</v>
      </c>
      <c r="C10" s="895">
        <v>0</v>
      </c>
      <c r="D10" s="1201">
        <f>C10</f>
        <v>0</v>
      </c>
      <c r="E10" s="1202">
        <v>82</v>
      </c>
      <c r="F10" s="1202">
        <v>82</v>
      </c>
      <c r="G10" s="1306">
        <f>F10/E10%</f>
        <v>100</v>
      </c>
      <c r="H10" s="1204">
        <f t="shared" ref="H10:H18" si="0">E10</f>
        <v>82</v>
      </c>
      <c r="I10" s="1201">
        <v>0</v>
      </c>
      <c r="J10" s="1202">
        <f>I10+70</f>
        <v>70</v>
      </c>
      <c r="K10" s="1202">
        <v>70</v>
      </c>
      <c r="L10" s="1306">
        <f>K10/J10%</f>
        <v>100</v>
      </c>
      <c r="M10" s="1205">
        <v>0</v>
      </c>
      <c r="N10" s="1202">
        <f>M10</f>
        <v>0</v>
      </c>
      <c r="O10" s="1202">
        <f>N10</f>
        <v>0</v>
      </c>
      <c r="P10" s="1202"/>
      <c r="Q10" s="1306"/>
      <c r="R10" s="1206">
        <f t="shared" ref="R10:R12" si="1">O10</f>
        <v>0</v>
      </c>
      <c r="S10" s="1201">
        <v>0</v>
      </c>
      <c r="T10" s="1202">
        <f>S10</f>
        <v>0</v>
      </c>
      <c r="U10" s="1202"/>
      <c r="V10" s="1203"/>
      <c r="W10" s="1205">
        <v>0</v>
      </c>
      <c r="X10" s="1202">
        <f>W9:W10</f>
        <v>0</v>
      </c>
      <c r="Y10" s="1202">
        <f>X10</f>
        <v>0</v>
      </c>
      <c r="Z10" s="1202"/>
      <c r="AA10" s="1202"/>
      <c r="AB10" s="1207">
        <f t="shared" ref="AB10:AB22" si="2">C10+H10+M10+R10+W10</f>
        <v>82</v>
      </c>
      <c r="AC10" s="1201">
        <f>D10+I10+N10+S10+X10</f>
        <v>0</v>
      </c>
      <c r="AD10" s="1202">
        <f>E10+J10+O10+T10+Y10</f>
        <v>152</v>
      </c>
      <c r="AE10" s="1202">
        <f>F10+K10+P10+U10+Z10</f>
        <v>152</v>
      </c>
      <c r="AF10" s="1306">
        <f>AE10/AD10%</f>
        <v>100</v>
      </c>
    </row>
    <row r="11" spans="1:35" s="255" customFormat="1" ht="45" x14ac:dyDescent="0.35">
      <c r="A11" s="1647" t="s">
        <v>382</v>
      </c>
      <c r="B11" s="1648" t="s">
        <v>520</v>
      </c>
      <c r="C11" s="895">
        <v>0</v>
      </c>
      <c r="D11" s="1201">
        <f t="shared" ref="D11:E22" si="3">C11</f>
        <v>0</v>
      </c>
      <c r="E11" s="1202">
        <f t="shared" ref="E11:E18" si="4">D11</f>
        <v>0</v>
      </c>
      <c r="F11" s="1202">
        <v>0</v>
      </c>
      <c r="G11" s="1203"/>
      <c r="H11" s="1204">
        <f t="shared" si="0"/>
        <v>0</v>
      </c>
      <c r="I11" s="1201">
        <f t="shared" ref="I11:K22" si="5">H11</f>
        <v>0</v>
      </c>
      <c r="J11" s="1202">
        <f t="shared" si="5"/>
        <v>0</v>
      </c>
      <c r="K11" s="1202">
        <f t="shared" si="5"/>
        <v>0</v>
      </c>
      <c r="L11" s="1203"/>
      <c r="M11" s="1205">
        <v>0</v>
      </c>
      <c r="N11" s="1202">
        <f t="shared" ref="N11:O22" si="6">M11</f>
        <v>0</v>
      </c>
      <c r="O11" s="1202">
        <f t="shared" si="6"/>
        <v>0</v>
      </c>
      <c r="P11" s="1202"/>
      <c r="Q11" s="1203"/>
      <c r="R11" s="1206">
        <f t="shared" si="1"/>
        <v>0</v>
      </c>
      <c r="S11" s="1201">
        <v>0</v>
      </c>
      <c r="T11" s="1202">
        <f t="shared" ref="T11:T19" si="7">S11</f>
        <v>0</v>
      </c>
      <c r="U11" s="1202"/>
      <c r="V11" s="1203"/>
      <c r="W11" s="1205">
        <v>0</v>
      </c>
      <c r="X11" s="1202">
        <f t="shared" ref="X11:X22" si="8">W10:W11</f>
        <v>0</v>
      </c>
      <c r="Y11" s="1202">
        <f t="shared" ref="Y11:Y19" si="9">X11</f>
        <v>0</v>
      </c>
      <c r="Z11" s="1202"/>
      <c r="AA11" s="1202"/>
      <c r="AB11" s="1207">
        <f t="shared" si="2"/>
        <v>0</v>
      </c>
      <c r="AC11" s="1201">
        <f t="shared" ref="AC11:AC27" si="10">D11+I11+N11+S11+X11</f>
        <v>0</v>
      </c>
      <c r="AD11" s="1202">
        <f t="shared" ref="AD11:AD15" si="11">AC11</f>
        <v>0</v>
      </c>
      <c r="AE11" s="1202">
        <f t="shared" ref="AE11:AE52" si="12">F11+K11+P11+U11+Z11</f>
        <v>0</v>
      </c>
      <c r="AF11" s="1203"/>
    </row>
    <row r="12" spans="1:35" ht="27.75" x14ac:dyDescent="0.4">
      <c r="A12" s="1649"/>
      <c r="B12" s="1416" t="s">
        <v>802</v>
      </c>
      <c r="C12" s="896">
        <v>0</v>
      </c>
      <c r="D12" s="1208">
        <f t="shared" si="3"/>
        <v>0</v>
      </c>
      <c r="E12" s="1209">
        <f t="shared" si="4"/>
        <v>0</v>
      </c>
      <c r="F12" s="1209">
        <v>0</v>
      </c>
      <c r="G12" s="1210"/>
      <c r="H12" s="1211">
        <f t="shared" si="0"/>
        <v>0</v>
      </c>
      <c r="I12" s="1208">
        <f t="shared" si="5"/>
        <v>0</v>
      </c>
      <c r="J12" s="1209">
        <f t="shared" si="5"/>
        <v>0</v>
      </c>
      <c r="K12" s="1209">
        <v>0</v>
      </c>
      <c r="L12" s="1210"/>
      <c r="M12" s="1212">
        <v>0</v>
      </c>
      <c r="N12" s="1209">
        <f t="shared" si="6"/>
        <v>0</v>
      </c>
      <c r="O12" s="1209">
        <f t="shared" si="6"/>
        <v>0</v>
      </c>
      <c r="P12" s="1209"/>
      <c r="Q12" s="1210"/>
      <c r="R12" s="1213">
        <f t="shared" si="1"/>
        <v>0</v>
      </c>
      <c r="S12" s="1208">
        <v>0</v>
      </c>
      <c r="T12" s="1209">
        <f t="shared" si="7"/>
        <v>0</v>
      </c>
      <c r="U12" s="1209"/>
      <c r="V12" s="1210"/>
      <c r="W12" s="1212">
        <v>0</v>
      </c>
      <c r="X12" s="1209">
        <f t="shared" si="8"/>
        <v>0</v>
      </c>
      <c r="Y12" s="1209">
        <f t="shared" si="9"/>
        <v>0</v>
      </c>
      <c r="Z12" s="1209"/>
      <c r="AA12" s="1209"/>
      <c r="AB12" s="1214">
        <f t="shared" si="2"/>
        <v>0</v>
      </c>
      <c r="AC12" s="1208">
        <f t="shared" si="10"/>
        <v>0</v>
      </c>
      <c r="AD12" s="1209">
        <f t="shared" si="11"/>
        <v>0</v>
      </c>
      <c r="AE12" s="1209">
        <f t="shared" si="12"/>
        <v>0</v>
      </c>
      <c r="AF12" s="1210"/>
    </row>
    <row r="13" spans="1:35" ht="27.75" x14ac:dyDescent="0.4">
      <c r="A13" s="1649"/>
      <c r="B13" s="1416" t="s">
        <v>801</v>
      </c>
      <c r="C13" s="896">
        <v>0</v>
      </c>
      <c r="D13" s="1208">
        <f t="shared" si="3"/>
        <v>0</v>
      </c>
      <c r="E13" s="1209">
        <f t="shared" si="4"/>
        <v>0</v>
      </c>
      <c r="F13" s="1209">
        <v>0</v>
      </c>
      <c r="G13" s="1210"/>
      <c r="H13" s="1211">
        <f t="shared" si="0"/>
        <v>0</v>
      </c>
      <c r="I13" s="1208">
        <f t="shared" si="5"/>
        <v>0</v>
      </c>
      <c r="J13" s="1209">
        <f t="shared" si="5"/>
        <v>0</v>
      </c>
      <c r="K13" s="1209">
        <v>0</v>
      </c>
      <c r="L13" s="1210"/>
      <c r="M13" s="1212">
        <v>4012</v>
      </c>
      <c r="N13" s="1209">
        <v>5374</v>
      </c>
      <c r="O13" s="1209">
        <f>N13+237+343-1+499</f>
        <v>6452</v>
      </c>
      <c r="P13" s="1209">
        <v>6499</v>
      </c>
      <c r="Q13" s="1307">
        <f>P13/O13%</f>
        <v>100.72845629262245</v>
      </c>
      <c r="R13" s="1213">
        <v>5376</v>
      </c>
      <c r="S13" s="1208">
        <v>0</v>
      </c>
      <c r="T13" s="1209">
        <f t="shared" si="7"/>
        <v>0</v>
      </c>
      <c r="U13" s="1209"/>
      <c r="V13" s="1210"/>
      <c r="W13" s="1212">
        <v>0</v>
      </c>
      <c r="X13" s="1209">
        <f t="shared" si="8"/>
        <v>0</v>
      </c>
      <c r="Y13" s="1209">
        <f t="shared" si="9"/>
        <v>0</v>
      </c>
      <c r="Z13" s="1209"/>
      <c r="AA13" s="1209"/>
      <c r="AB13" s="1214">
        <f t="shared" si="2"/>
        <v>9388</v>
      </c>
      <c r="AC13" s="1208">
        <f t="shared" si="10"/>
        <v>5374</v>
      </c>
      <c r="AD13" s="1209">
        <f>E13+J13+O13+T13+Y13</f>
        <v>6452</v>
      </c>
      <c r="AE13" s="1209">
        <f t="shared" si="12"/>
        <v>6499</v>
      </c>
      <c r="AF13" s="1307">
        <f>AE13/AD13%</f>
        <v>100.72845629262245</v>
      </c>
    </row>
    <row r="14" spans="1:35" s="629" customFormat="1" ht="27.75" x14ac:dyDescent="0.4">
      <c r="A14" s="1650" t="s">
        <v>389</v>
      </c>
      <c r="B14" s="1462" t="s">
        <v>388</v>
      </c>
      <c r="C14" s="897">
        <f t="shared" ref="C14" si="13">SUM(C12:C13)</f>
        <v>0</v>
      </c>
      <c r="D14" s="1201">
        <f t="shared" si="3"/>
        <v>0</v>
      </c>
      <c r="E14" s="1202">
        <f t="shared" si="3"/>
        <v>0</v>
      </c>
      <c r="F14" s="1202">
        <v>0</v>
      </c>
      <c r="G14" s="1203"/>
      <c r="H14" s="1204">
        <f t="shared" si="0"/>
        <v>0</v>
      </c>
      <c r="I14" s="1201">
        <f t="shared" si="5"/>
        <v>0</v>
      </c>
      <c r="J14" s="1202">
        <f t="shared" si="5"/>
        <v>0</v>
      </c>
      <c r="K14" s="1202">
        <f t="shared" si="5"/>
        <v>0</v>
      </c>
      <c r="L14" s="1203"/>
      <c r="M14" s="1215">
        <f>SUM(M12:M13)</f>
        <v>4012</v>
      </c>
      <c r="N14" s="1202">
        <f>SUM(N12:N13)</f>
        <v>5374</v>
      </c>
      <c r="O14" s="1202">
        <f>O13</f>
        <v>6452</v>
      </c>
      <c r="P14" s="1202">
        <f>P13</f>
        <v>6499</v>
      </c>
      <c r="Q14" s="1307">
        <f t="shared" ref="Q14:Q18" si="14">P14/O14%</f>
        <v>100.72845629262245</v>
      </c>
      <c r="R14" s="1206">
        <f t="shared" ref="R14" si="15">SUM(R12:R13)</f>
        <v>5376</v>
      </c>
      <c r="S14" s="1201">
        <f t="shared" ref="S14:W14" si="16">SUM(S12:S13)</f>
        <v>0</v>
      </c>
      <c r="T14" s="1202">
        <f t="shared" si="7"/>
        <v>0</v>
      </c>
      <c r="U14" s="1202"/>
      <c r="V14" s="1203"/>
      <c r="W14" s="1215">
        <f t="shared" si="16"/>
        <v>0</v>
      </c>
      <c r="X14" s="1202">
        <f t="shared" si="8"/>
        <v>0</v>
      </c>
      <c r="Y14" s="1202">
        <f t="shared" si="9"/>
        <v>0</v>
      </c>
      <c r="Z14" s="1202"/>
      <c r="AA14" s="1202"/>
      <c r="AB14" s="1216">
        <f t="shared" si="2"/>
        <v>9388</v>
      </c>
      <c r="AC14" s="1201">
        <f t="shared" si="10"/>
        <v>5374</v>
      </c>
      <c r="AD14" s="1202">
        <f>E14+J14+O14+T14+Y14</f>
        <v>6452</v>
      </c>
      <c r="AE14" s="1202">
        <f t="shared" si="12"/>
        <v>6499</v>
      </c>
      <c r="AF14" s="1307">
        <f t="shared" ref="AF14:AF24" si="17">AE14/AD14%</f>
        <v>100.72845629262245</v>
      </c>
    </row>
    <row r="15" spans="1:35" ht="27.75" x14ac:dyDescent="0.4">
      <c r="A15" s="1651"/>
      <c r="B15" s="1416" t="s">
        <v>803</v>
      </c>
      <c r="C15" s="896">
        <v>0</v>
      </c>
      <c r="D15" s="1208">
        <f t="shared" si="3"/>
        <v>0</v>
      </c>
      <c r="E15" s="1209">
        <f t="shared" si="4"/>
        <v>0</v>
      </c>
      <c r="F15" s="1209">
        <v>0</v>
      </c>
      <c r="G15" s="1210"/>
      <c r="H15" s="1211">
        <f t="shared" si="0"/>
        <v>0</v>
      </c>
      <c r="I15" s="1208">
        <f t="shared" si="5"/>
        <v>0</v>
      </c>
      <c r="J15" s="1209">
        <f t="shared" si="5"/>
        <v>0</v>
      </c>
      <c r="K15" s="1209">
        <v>0</v>
      </c>
      <c r="L15" s="1210"/>
      <c r="M15" s="1212"/>
      <c r="N15" s="1209">
        <f t="shared" si="6"/>
        <v>0</v>
      </c>
      <c r="O15" s="1209">
        <f t="shared" si="6"/>
        <v>0</v>
      </c>
      <c r="P15" s="1209"/>
      <c r="Q15" s="1307"/>
      <c r="R15" s="1213">
        <f t="shared" ref="R15" si="18">O15</f>
        <v>0</v>
      </c>
      <c r="S15" s="1208">
        <v>0</v>
      </c>
      <c r="T15" s="1209">
        <f t="shared" si="7"/>
        <v>0</v>
      </c>
      <c r="U15" s="1209"/>
      <c r="V15" s="1210"/>
      <c r="W15" s="1212">
        <v>0</v>
      </c>
      <c r="X15" s="1209">
        <f t="shared" si="8"/>
        <v>0</v>
      </c>
      <c r="Y15" s="1209">
        <f t="shared" si="9"/>
        <v>0</v>
      </c>
      <c r="Z15" s="1209"/>
      <c r="AA15" s="1209"/>
      <c r="AB15" s="1214">
        <f t="shared" si="2"/>
        <v>0</v>
      </c>
      <c r="AC15" s="1208">
        <f t="shared" si="10"/>
        <v>0</v>
      </c>
      <c r="AD15" s="1209">
        <f t="shared" si="11"/>
        <v>0</v>
      </c>
      <c r="AE15" s="1209">
        <f t="shared" si="12"/>
        <v>0</v>
      </c>
      <c r="AF15" s="1307"/>
    </row>
    <row r="16" spans="1:35" ht="27.75" x14ac:dyDescent="0.4">
      <c r="A16" s="1651"/>
      <c r="B16" s="1416" t="s">
        <v>518</v>
      </c>
      <c r="C16" s="896">
        <v>0</v>
      </c>
      <c r="D16" s="1208">
        <f t="shared" si="3"/>
        <v>0</v>
      </c>
      <c r="E16" s="1209">
        <f t="shared" si="4"/>
        <v>0</v>
      </c>
      <c r="F16" s="1209">
        <v>0</v>
      </c>
      <c r="G16" s="1210"/>
      <c r="H16" s="1211">
        <f t="shared" si="0"/>
        <v>0</v>
      </c>
      <c r="I16" s="1208">
        <f t="shared" si="5"/>
        <v>0</v>
      </c>
      <c r="J16" s="1209">
        <f t="shared" si="5"/>
        <v>0</v>
      </c>
      <c r="K16" s="1209">
        <v>0</v>
      </c>
      <c r="L16" s="1210"/>
      <c r="M16" s="1212">
        <v>1300</v>
      </c>
      <c r="N16" s="1209">
        <v>1300</v>
      </c>
      <c r="O16" s="1209">
        <f t="shared" si="6"/>
        <v>1300</v>
      </c>
      <c r="P16" s="1209">
        <v>1095</v>
      </c>
      <c r="Q16" s="1307">
        <f t="shared" si="14"/>
        <v>84.230769230769226</v>
      </c>
      <c r="R16" s="1213">
        <v>1300</v>
      </c>
      <c r="S16" s="1208"/>
      <c r="T16" s="1209">
        <f t="shared" si="7"/>
        <v>0</v>
      </c>
      <c r="U16" s="1209"/>
      <c r="V16" s="1210"/>
      <c r="W16" s="1212">
        <v>0</v>
      </c>
      <c r="X16" s="1209">
        <f t="shared" si="8"/>
        <v>0</v>
      </c>
      <c r="Y16" s="1209">
        <f t="shared" si="9"/>
        <v>0</v>
      </c>
      <c r="Z16" s="1209"/>
      <c r="AA16" s="1209"/>
      <c r="AB16" s="1214">
        <f t="shared" si="2"/>
        <v>2600</v>
      </c>
      <c r="AC16" s="1208">
        <f t="shared" si="10"/>
        <v>1300</v>
      </c>
      <c r="AD16" s="1209">
        <f t="shared" ref="AD16:AE21" si="19">E16+J16+O16+T16+Y16</f>
        <v>1300</v>
      </c>
      <c r="AE16" s="1209">
        <f t="shared" si="12"/>
        <v>1095</v>
      </c>
      <c r="AF16" s="1307">
        <f t="shared" si="17"/>
        <v>84.230769230769226</v>
      </c>
    </row>
    <row r="17" spans="1:32" ht="27.75" x14ac:dyDescent="0.4">
      <c r="A17" s="1651"/>
      <c r="B17" s="1416" t="s">
        <v>748</v>
      </c>
      <c r="C17" s="896">
        <v>0</v>
      </c>
      <c r="D17" s="1208">
        <f t="shared" si="3"/>
        <v>0</v>
      </c>
      <c r="E17" s="1209">
        <f>D17</f>
        <v>0</v>
      </c>
      <c r="F17" s="1209">
        <v>0</v>
      </c>
      <c r="G17" s="1210"/>
      <c r="H17" s="1211">
        <f t="shared" si="0"/>
        <v>0</v>
      </c>
      <c r="I17" s="1208">
        <f t="shared" si="5"/>
        <v>0</v>
      </c>
      <c r="J17" s="1209">
        <f t="shared" si="5"/>
        <v>0</v>
      </c>
      <c r="K17" s="1209">
        <v>0</v>
      </c>
      <c r="L17" s="1210"/>
      <c r="M17" s="1212">
        <v>3000</v>
      </c>
      <c r="N17" s="1209">
        <v>6000</v>
      </c>
      <c r="O17" s="1209">
        <f>N17+1181+1</f>
        <v>7182</v>
      </c>
      <c r="P17" s="1209">
        <v>8700</v>
      </c>
      <c r="Q17" s="1307">
        <f t="shared" si="14"/>
        <v>121.13617376775272</v>
      </c>
      <c r="R17" s="1213">
        <v>6000</v>
      </c>
      <c r="S17" s="1208"/>
      <c r="T17" s="1209">
        <f t="shared" si="7"/>
        <v>0</v>
      </c>
      <c r="U17" s="1209"/>
      <c r="V17" s="1210"/>
      <c r="W17" s="1212">
        <v>0</v>
      </c>
      <c r="X17" s="1209">
        <f t="shared" si="8"/>
        <v>0</v>
      </c>
      <c r="Y17" s="1209">
        <f t="shared" si="9"/>
        <v>0</v>
      </c>
      <c r="Z17" s="1209"/>
      <c r="AA17" s="1209"/>
      <c r="AB17" s="1214">
        <f t="shared" si="2"/>
        <v>9000</v>
      </c>
      <c r="AC17" s="1208">
        <f t="shared" si="10"/>
        <v>6000</v>
      </c>
      <c r="AD17" s="1209">
        <f t="shared" si="19"/>
        <v>7182</v>
      </c>
      <c r="AE17" s="1209">
        <f t="shared" si="12"/>
        <v>8700</v>
      </c>
      <c r="AF17" s="1307">
        <f t="shared" si="17"/>
        <v>121.13617376775272</v>
      </c>
    </row>
    <row r="18" spans="1:32" ht="27.75" x14ac:dyDescent="0.4">
      <c r="A18" s="1651"/>
      <c r="B18" s="1416" t="s">
        <v>749</v>
      </c>
      <c r="C18" s="896">
        <v>0</v>
      </c>
      <c r="D18" s="1208">
        <f t="shared" si="3"/>
        <v>0</v>
      </c>
      <c r="E18" s="1209">
        <f t="shared" si="4"/>
        <v>0</v>
      </c>
      <c r="F18" s="1209">
        <v>0</v>
      </c>
      <c r="G18" s="1210"/>
      <c r="H18" s="1211">
        <f t="shared" si="0"/>
        <v>0</v>
      </c>
      <c r="I18" s="1208">
        <f t="shared" si="5"/>
        <v>0</v>
      </c>
      <c r="J18" s="1209">
        <f t="shared" si="5"/>
        <v>0</v>
      </c>
      <c r="K18" s="1209">
        <v>0</v>
      </c>
      <c r="L18" s="1210"/>
      <c r="M18" s="1212">
        <v>4500</v>
      </c>
      <c r="N18" s="1209">
        <v>7300</v>
      </c>
      <c r="O18" s="1209">
        <f t="shared" si="6"/>
        <v>7300</v>
      </c>
      <c r="P18" s="1209">
        <v>5956</v>
      </c>
      <c r="Q18" s="1307">
        <f t="shared" si="14"/>
        <v>81.589041095890408</v>
      </c>
      <c r="R18" s="1213">
        <v>7300</v>
      </c>
      <c r="S18" s="1208"/>
      <c r="T18" s="1209">
        <f t="shared" si="7"/>
        <v>0</v>
      </c>
      <c r="U18" s="1209"/>
      <c r="V18" s="1210"/>
      <c r="W18" s="1212">
        <v>0</v>
      </c>
      <c r="X18" s="1209">
        <f t="shared" si="8"/>
        <v>0</v>
      </c>
      <c r="Y18" s="1209">
        <f t="shared" si="9"/>
        <v>0</v>
      </c>
      <c r="Z18" s="1209"/>
      <c r="AA18" s="1209"/>
      <c r="AB18" s="1214">
        <f t="shared" si="2"/>
        <v>11800</v>
      </c>
      <c r="AC18" s="1208">
        <f t="shared" si="10"/>
        <v>7300</v>
      </c>
      <c r="AD18" s="1209">
        <f t="shared" si="19"/>
        <v>7300</v>
      </c>
      <c r="AE18" s="1209">
        <f t="shared" si="12"/>
        <v>5956</v>
      </c>
      <c r="AF18" s="1307">
        <f t="shared" si="17"/>
        <v>81.589041095890408</v>
      </c>
    </row>
    <row r="19" spans="1:32" ht="27.75" x14ac:dyDescent="0.4">
      <c r="A19" s="1651"/>
      <c r="B19" s="1416" t="s">
        <v>517</v>
      </c>
      <c r="C19" s="896">
        <v>250</v>
      </c>
      <c r="D19" s="1208">
        <v>250</v>
      </c>
      <c r="E19" s="1209">
        <f>D19+22</f>
        <v>272</v>
      </c>
      <c r="F19" s="1209">
        <v>272</v>
      </c>
      <c r="G19" s="1307">
        <f>F19/E19%</f>
        <v>99.999999999999986</v>
      </c>
      <c r="H19" s="1211">
        <v>252</v>
      </c>
      <c r="I19" s="1208">
        <v>300</v>
      </c>
      <c r="J19" s="1209">
        <f>I19+60</f>
        <v>360</v>
      </c>
      <c r="K19" s="1209">
        <v>360</v>
      </c>
      <c r="L19" s="1307">
        <f>K19/J19%</f>
        <v>100</v>
      </c>
      <c r="M19" s="1212">
        <v>4500</v>
      </c>
      <c r="N19" s="1209">
        <v>4500</v>
      </c>
      <c r="O19" s="1209">
        <f t="shared" si="6"/>
        <v>4500</v>
      </c>
      <c r="P19" s="1209">
        <f>6937</f>
        <v>6937</v>
      </c>
      <c r="Q19" s="1307">
        <f>P19/O19%</f>
        <v>154.15555555555557</v>
      </c>
      <c r="R19" s="1213">
        <v>4500</v>
      </c>
      <c r="S19" s="1208"/>
      <c r="T19" s="1209">
        <f t="shared" si="7"/>
        <v>0</v>
      </c>
      <c r="U19" s="1209"/>
      <c r="V19" s="1210"/>
      <c r="W19" s="1212">
        <v>0</v>
      </c>
      <c r="X19" s="1209">
        <f t="shared" si="8"/>
        <v>0</v>
      </c>
      <c r="Y19" s="1209">
        <f t="shared" si="9"/>
        <v>0</v>
      </c>
      <c r="Z19" s="1209"/>
      <c r="AA19" s="1209"/>
      <c r="AB19" s="1214">
        <f t="shared" si="2"/>
        <v>9502</v>
      </c>
      <c r="AC19" s="1208">
        <f t="shared" si="10"/>
        <v>5050</v>
      </c>
      <c r="AD19" s="1209">
        <f t="shared" si="19"/>
        <v>5132</v>
      </c>
      <c r="AE19" s="1209">
        <f t="shared" si="12"/>
        <v>7569</v>
      </c>
      <c r="AF19" s="1307">
        <f t="shared" si="17"/>
        <v>147.48636009353078</v>
      </c>
    </row>
    <row r="20" spans="1:32" s="629" customFormat="1" ht="27.75" x14ac:dyDescent="0.4">
      <c r="A20" s="1650" t="s">
        <v>391</v>
      </c>
      <c r="B20" s="1462" t="s">
        <v>390</v>
      </c>
      <c r="C20" s="897">
        <f t="shared" ref="C20:W20" si="20">SUM(C15:C19)</f>
        <v>250</v>
      </c>
      <c r="D20" s="1217">
        <f t="shared" si="20"/>
        <v>250</v>
      </c>
      <c r="E20" s="1218">
        <f t="shared" si="20"/>
        <v>272</v>
      </c>
      <c r="F20" s="1218">
        <f t="shared" si="20"/>
        <v>272</v>
      </c>
      <c r="G20" s="1307">
        <f>F20/E20%</f>
        <v>99.999999999999986</v>
      </c>
      <c r="H20" s="1219">
        <f t="shared" ref="H20" si="21">SUM(H15:H19)</f>
        <v>252</v>
      </c>
      <c r="I20" s="1217">
        <f t="shared" si="20"/>
        <v>300</v>
      </c>
      <c r="J20" s="1218">
        <f t="shared" ref="J20:K20" si="22">SUM(J15:J19)</f>
        <v>360</v>
      </c>
      <c r="K20" s="1218">
        <f t="shared" si="22"/>
        <v>360</v>
      </c>
      <c r="L20" s="1307">
        <f>K20/J20%</f>
        <v>100</v>
      </c>
      <c r="M20" s="1215">
        <f>SUM(M15:M19)</f>
        <v>13300</v>
      </c>
      <c r="N20" s="1218">
        <f>SUM(N15:N19)</f>
        <v>19100</v>
      </c>
      <c r="O20" s="1218">
        <f>SUM(O15:O19)</f>
        <v>20282</v>
      </c>
      <c r="P20" s="1218">
        <f>SUM(P16:P19)</f>
        <v>22688</v>
      </c>
      <c r="Q20" s="1307">
        <f>P20/O20%</f>
        <v>111.86273543043093</v>
      </c>
      <c r="R20" s="1216">
        <f t="shared" ref="R20" si="23">SUM(R15:R19)</f>
        <v>19100</v>
      </c>
      <c r="S20" s="1217">
        <f t="shared" si="20"/>
        <v>0</v>
      </c>
      <c r="T20" s="1218">
        <v>153</v>
      </c>
      <c r="U20" s="1218">
        <v>153</v>
      </c>
      <c r="V20" s="1307">
        <f>U20/T20%</f>
        <v>100</v>
      </c>
      <c r="W20" s="1215">
        <f t="shared" si="20"/>
        <v>0</v>
      </c>
      <c r="X20" s="1218">
        <f t="shared" si="8"/>
        <v>0</v>
      </c>
      <c r="Y20" s="1218">
        <v>37</v>
      </c>
      <c r="Z20" s="1218">
        <v>37</v>
      </c>
      <c r="AA20" s="1307">
        <f>Z20/Y20%</f>
        <v>100</v>
      </c>
      <c r="AB20" s="1216">
        <f t="shared" si="2"/>
        <v>32902</v>
      </c>
      <c r="AC20" s="1217">
        <f t="shared" si="10"/>
        <v>19650</v>
      </c>
      <c r="AD20" s="1202">
        <f t="shared" si="19"/>
        <v>21104</v>
      </c>
      <c r="AE20" s="1202">
        <f t="shared" si="19"/>
        <v>23510</v>
      </c>
      <c r="AF20" s="1307">
        <f t="shared" si="17"/>
        <v>111.40068233510236</v>
      </c>
    </row>
    <row r="21" spans="1:32" s="629" customFormat="1" ht="46.5" x14ac:dyDescent="0.4">
      <c r="A21" s="1650" t="s">
        <v>397</v>
      </c>
      <c r="B21" s="1462" t="s">
        <v>750</v>
      </c>
      <c r="C21" s="898">
        <v>0</v>
      </c>
      <c r="D21" s="1201">
        <f t="shared" si="3"/>
        <v>0</v>
      </c>
      <c r="E21" s="1202">
        <f>D21</f>
        <v>0</v>
      </c>
      <c r="F21" s="1202">
        <v>0</v>
      </c>
      <c r="G21" s="1203"/>
      <c r="H21" s="1204">
        <f t="shared" ref="H21:H22" si="24">E21</f>
        <v>0</v>
      </c>
      <c r="I21" s="1201">
        <f t="shared" si="5"/>
        <v>0</v>
      </c>
      <c r="J21" s="1202">
        <f>I21</f>
        <v>0</v>
      </c>
      <c r="K21" s="1202">
        <v>0</v>
      </c>
      <c r="L21" s="1203"/>
      <c r="M21" s="1215">
        <v>0</v>
      </c>
      <c r="N21" s="1202">
        <f t="shared" si="6"/>
        <v>0</v>
      </c>
      <c r="O21" s="1202">
        <f>N21</f>
        <v>0</v>
      </c>
      <c r="P21" s="1202">
        <v>0</v>
      </c>
      <c r="Q21" s="1203"/>
      <c r="R21" s="1206">
        <f t="shared" ref="R21:R22" si="25">O21</f>
        <v>0</v>
      </c>
      <c r="S21" s="1201">
        <f t="shared" ref="S21:S22" si="26">R21</f>
        <v>0</v>
      </c>
      <c r="T21" s="1202">
        <f>S21</f>
        <v>0</v>
      </c>
      <c r="U21" s="1202"/>
      <c r="V21" s="1203"/>
      <c r="W21" s="1215">
        <v>2266</v>
      </c>
      <c r="X21" s="1202">
        <v>2512</v>
      </c>
      <c r="Y21" s="1202">
        <f>X21+63+340-37</f>
        <v>2878</v>
      </c>
      <c r="Z21" s="1202">
        <v>2878</v>
      </c>
      <c r="AA21" s="1307">
        <f>Z21/Y21%</f>
        <v>100</v>
      </c>
      <c r="AB21" s="1216">
        <f t="shared" si="2"/>
        <v>2266</v>
      </c>
      <c r="AC21" s="1201">
        <f t="shared" si="10"/>
        <v>2512</v>
      </c>
      <c r="AD21" s="1202">
        <f t="shared" si="19"/>
        <v>2878</v>
      </c>
      <c r="AE21" s="1202">
        <f t="shared" si="12"/>
        <v>2878</v>
      </c>
      <c r="AF21" s="1307">
        <f t="shared" si="17"/>
        <v>100</v>
      </c>
    </row>
    <row r="22" spans="1:32" s="255" customFormat="1" ht="27.75" x14ac:dyDescent="0.4">
      <c r="A22" s="1652" t="s">
        <v>401</v>
      </c>
      <c r="B22" s="1417" t="s">
        <v>400</v>
      </c>
      <c r="C22" s="895">
        <v>0</v>
      </c>
      <c r="D22" s="1201">
        <f t="shared" si="3"/>
        <v>0</v>
      </c>
      <c r="E22" s="1202">
        <f>D22</f>
        <v>0</v>
      </c>
      <c r="F22" s="1202">
        <v>0</v>
      </c>
      <c r="G22" s="1203"/>
      <c r="H22" s="1204">
        <f t="shared" si="24"/>
        <v>0</v>
      </c>
      <c r="I22" s="1201">
        <f t="shared" si="5"/>
        <v>0</v>
      </c>
      <c r="J22" s="1202">
        <f>I22</f>
        <v>0</v>
      </c>
      <c r="K22" s="1202">
        <v>0</v>
      </c>
      <c r="L22" s="1203"/>
      <c r="M22" s="1205">
        <v>0</v>
      </c>
      <c r="N22" s="1202">
        <f t="shared" si="6"/>
        <v>0</v>
      </c>
      <c r="O22" s="1202">
        <f>N22</f>
        <v>0</v>
      </c>
      <c r="P22" s="1202">
        <v>0</v>
      </c>
      <c r="Q22" s="1203"/>
      <c r="R22" s="1206">
        <f t="shared" si="25"/>
        <v>0</v>
      </c>
      <c r="S22" s="1201">
        <f t="shared" si="26"/>
        <v>0</v>
      </c>
      <c r="T22" s="1202">
        <f>S22</f>
        <v>0</v>
      </c>
      <c r="U22" s="1202"/>
      <c r="V22" s="1203"/>
      <c r="W22" s="1205">
        <v>0</v>
      </c>
      <c r="X22" s="1202">
        <f t="shared" si="8"/>
        <v>0</v>
      </c>
      <c r="Y22" s="1202">
        <f>X22</f>
        <v>0</v>
      </c>
      <c r="Z22" s="1202"/>
      <c r="AA22" s="1202"/>
      <c r="AB22" s="1207">
        <f t="shared" si="2"/>
        <v>0</v>
      </c>
      <c r="AC22" s="1201">
        <f t="shared" si="10"/>
        <v>0</v>
      </c>
      <c r="AD22" s="1202">
        <f>AC22</f>
        <v>0</v>
      </c>
      <c r="AE22" s="1202">
        <f t="shared" si="12"/>
        <v>0</v>
      </c>
      <c r="AF22" s="1307"/>
    </row>
    <row r="23" spans="1:32" s="255" customFormat="1" ht="27.75" x14ac:dyDescent="0.4">
      <c r="A23" s="1652" t="s">
        <v>1112</v>
      </c>
      <c r="B23" s="1417" t="s">
        <v>980</v>
      </c>
      <c r="C23" s="895"/>
      <c r="D23" s="1201"/>
      <c r="E23" s="1202"/>
      <c r="F23" s="1202"/>
      <c r="G23" s="1203"/>
      <c r="H23" s="1204"/>
      <c r="I23" s="1201"/>
      <c r="J23" s="1202">
        <v>21</v>
      </c>
      <c r="K23" s="1202">
        <v>21</v>
      </c>
      <c r="L23" s="1203"/>
      <c r="M23" s="1205"/>
      <c r="N23" s="1202"/>
      <c r="O23" s="1202">
        <v>5</v>
      </c>
      <c r="P23" s="1202">
        <v>5</v>
      </c>
      <c r="Q23" s="1203"/>
      <c r="R23" s="1206"/>
      <c r="S23" s="1201"/>
      <c r="T23" s="1202"/>
      <c r="U23" s="1202"/>
      <c r="V23" s="1203"/>
      <c r="W23" s="1205"/>
      <c r="X23" s="1202"/>
      <c r="Y23" s="1202"/>
      <c r="Z23" s="1202"/>
      <c r="AA23" s="1202"/>
      <c r="AB23" s="1207"/>
      <c r="AC23" s="1201"/>
      <c r="AD23" s="1209">
        <f>E23+J23+O23+T23+Y23</f>
        <v>26</v>
      </c>
      <c r="AE23" s="1202">
        <f t="shared" si="12"/>
        <v>26</v>
      </c>
      <c r="AF23" s="1307">
        <f t="shared" si="17"/>
        <v>100</v>
      </c>
    </row>
    <row r="24" spans="1:32" s="255" customFormat="1" ht="27.75" x14ac:dyDescent="0.4">
      <c r="A24" s="1647" t="s">
        <v>403</v>
      </c>
      <c r="B24" s="1648" t="s">
        <v>402</v>
      </c>
      <c r="C24" s="895">
        <f>C14+C20+C21+C22</f>
        <v>250</v>
      </c>
      <c r="D24" s="1201">
        <f t="shared" ref="D24:AB24" si="27">D14+D20+D21+D22</f>
        <v>250</v>
      </c>
      <c r="E24" s="1202">
        <f>E14+E20+E21+E22</f>
        <v>272</v>
      </c>
      <c r="F24" s="1202">
        <f>F14+F20+F21+F22</f>
        <v>272</v>
      </c>
      <c r="G24" s="1307">
        <f>F24/E24%</f>
        <v>99.999999999999986</v>
      </c>
      <c r="H24" s="1204">
        <f t="shared" ref="H24" si="28">H14+H20+H21+H22</f>
        <v>252</v>
      </c>
      <c r="I24" s="1201">
        <f t="shared" si="27"/>
        <v>300</v>
      </c>
      <c r="J24" s="1202">
        <f>J14+J20+J21+J22+J23</f>
        <v>381</v>
      </c>
      <c r="K24" s="1202">
        <f>K14+K20+K21+K22+K23</f>
        <v>381</v>
      </c>
      <c r="L24" s="1307">
        <f>K24/J24%</f>
        <v>100</v>
      </c>
      <c r="M24" s="1220">
        <f t="shared" si="27"/>
        <v>17312</v>
      </c>
      <c r="N24" s="1202">
        <f>N14+N20+N21+N22</f>
        <v>24474</v>
      </c>
      <c r="O24" s="1202">
        <f>O14+O20+O21+O22+O23</f>
        <v>26739</v>
      </c>
      <c r="P24" s="1202">
        <f>P14+P20+P21+P22+P23</f>
        <v>29192</v>
      </c>
      <c r="Q24" s="1307">
        <f>P24/O24%</f>
        <v>109.1738658887767</v>
      </c>
      <c r="R24" s="1206">
        <f t="shared" ref="R24" si="29">R14+R20+R21+R22</f>
        <v>24476</v>
      </c>
      <c r="S24" s="1201">
        <f t="shared" si="27"/>
        <v>0</v>
      </c>
      <c r="T24" s="1202">
        <f>T14+T20+T21+T22</f>
        <v>153</v>
      </c>
      <c r="U24" s="1202">
        <f>U14+U20+U21+U22</f>
        <v>153</v>
      </c>
      <c r="V24" s="1307">
        <f>U24/T24%</f>
        <v>100</v>
      </c>
      <c r="W24" s="1220">
        <f t="shared" si="27"/>
        <v>2266</v>
      </c>
      <c r="X24" s="1202">
        <f t="shared" si="27"/>
        <v>2512</v>
      </c>
      <c r="Y24" s="1202">
        <f>Y14+Y20+Y21+Y22</f>
        <v>2915</v>
      </c>
      <c r="Z24" s="1202">
        <f>Z14+Z20+Z21+Z22</f>
        <v>2915</v>
      </c>
      <c r="AA24" s="1307">
        <f>Z24/Y24%</f>
        <v>100</v>
      </c>
      <c r="AB24" s="1206">
        <f t="shared" si="27"/>
        <v>44556</v>
      </c>
      <c r="AC24" s="1201">
        <f t="shared" si="10"/>
        <v>27536</v>
      </c>
      <c r="AD24" s="1202">
        <f>E24+J24+O24+T24+Y24</f>
        <v>30460</v>
      </c>
      <c r="AE24" s="1202">
        <f>F24+K24+P24+U24+Z24</f>
        <v>32913</v>
      </c>
      <c r="AF24" s="1307">
        <f t="shared" si="17"/>
        <v>108.05318450426789</v>
      </c>
    </row>
    <row r="25" spans="1:32" s="255" customFormat="1" ht="27" x14ac:dyDescent="0.35">
      <c r="A25" s="1653" t="s">
        <v>413</v>
      </c>
      <c r="B25" s="1654" t="s">
        <v>412</v>
      </c>
      <c r="C25" s="899"/>
      <c r="D25" s="1221"/>
      <c r="E25" s="1222">
        <f>D25</f>
        <v>0</v>
      </c>
      <c r="F25" s="1222">
        <f>E25</f>
        <v>0</v>
      </c>
      <c r="G25" s="1223"/>
      <c r="H25" s="1224"/>
      <c r="I25" s="1221">
        <v>0</v>
      </c>
      <c r="J25" s="1222">
        <f>I25</f>
        <v>0</v>
      </c>
      <c r="K25" s="1222">
        <f>J25</f>
        <v>0</v>
      </c>
      <c r="L25" s="1223"/>
      <c r="M25" s="1225">
        <v>0</v>
      </c>
      <c r="N25" s="1222"/>
      <c r="O25" s="1222">
        <f>60+200+500</f>
        <v>760</v>
      </c>
      <c r="P25" s="1222">
        <v>760</v>
      </c>
      <c r="Q25" s="1311">
        <f>P25/O25%</f>
        <v>100</v>
      </c>
      <c r="R25" s="1226"/>
      <c r="S25" s="1221">
        <v>0</v>
      </c>
      <c r="T25" s="1222">
        <f>S25</f>
        <v>0</v>
      </c>
      <c r="U25" s="1222">
        <f>T25</f>
        <v>0</v>
      </c>
      <c r="V25" s="1223"/>
      <c r="W25" s="1225">
        <v>0</v>
      </c>
      <c r="X25" s="1222">
        <v>0</v>
      </c>
      <c r="Y25" s="1222">
        <f>X25</f>
        <v>0</v>
      </c>
      <c r="Z25" s="1222">
        <f>Y25</f>
        <v>0</v>
      </c>
      <c r="AA25" s="1222"/>
      <c r="AB25" s="1226">
        <f>C25+H25+M25+R25+W25</f>
        <v>0</v>
      </c>
      <c r="AC25" s="1221">
        <f t="shared" si="10"/>
        <v>0</v>
      </c>
      <c r="AD25" s="1222">
        <f>E25+J25+O25+T25+Y25</f>
        <v>760</v>
      </c>
      <c r="AE25" s="1222">
        <f t="shared" si="12"/>
        <v>760</v>
      </c>
      <c r="AF25" s="1311">
        <f>AE25/AD25%</f>
        <v>100</v>
      </c>
    </row>
    <row r="26" spans="1:32" s="255" customFormat="1" ht="27" x14ac:dyDescent="0.35">
      <c r="A26" s="1653" t="s">
        <v>419</v>
      </c>
      <c r="B26" s="1654" t="s">
        <v>418</v>
      </c>
      <c r="C26" s="899"/>
      <c r="D26" s="1221"/>
      <c r="E26" s="1222">
        <f>D26</f>
        <v>0</v>
      </c>
      <c r="F26" s="1222">
        <f>E26</f>
        <v>0</v>
      </c>
      <c r="G26" s="1223"/>
      <c r="H26" s="1224"/>
      <c r="I26" s="1221">
        <v>0</v>
      </c>
      <c r="J26" s="1222">
        <f>I26</f>
        <v>0</v>
      </c>
      <c r="K26" s="1222">
        <f>J26</f>
        <v>0</v>
      </c>
      <c r="L26" s="1223"/>
      <c r="M26" s="1225">
        <v>0</v>
      </c>
      <c r="N26" s="1222">
        <v>0</v>
      </c>
      <c r="O26" s="1222">
        <f>N26</f>
        <v>0</v>
      </c>
      <c r="P26" s="1222">
        <v>0</v>
      </c>
      <c r="Q26" s="1223"/>
      <c r="R26" s="1226">
        <v>2</v>
      </c>
      <c r="S26" s="1221">
        <v>0</v>
      </c>
      <c r="T26" s="1222">
        <f>S26</f>
        <v>0</v>
      </c>
      <c r="U26" s="1222">
        <f>T26</f>
        <v>0</v>
      </c>
      <c r="V26" s="1223"/>
      <c r="W26" s="1225">
        <v>0</v>
      </c>
      <c r="X26" s="1222">
        <v>0</v>
      </c>
      <c r="Y26" s="1222">
        <f>X26</f>
        <v>0</v>
      </c>
      <c r="Z26" s="1222">
        <f>Y26</f>
        <v>0</v>
      </c>
      <c r="AA26" s="1222"/>
      <c r="AB26" s="1226">
        <f>C26+H26+M26+R26+W26</f>
        <v>2</v>
      </c>
      <c r="AC26" s="1221">
        <f t="shared" si="10"/>
        <v>0</v>
      </c>
      <c r="AD26" s="1222">
        <f>E26+J26+O26+T26+Y26</f>
        <v>0</v>
      </c>
      <c r="AE26" s="1222">
        <f t="shared" si="12"/>
        <v>0</v>
      </c>
      <c r="AF26" s="1223"/>
    </row>
    <row r="27" spans="1:32" s="255" customFormat="1" ht="27" x14ac:dyDescent="0.35">
      <c r="A27" s="1655" t="s">
        <v>421</v>
      </c>
      <c r="B27" s="1420" t="s">
        <v>420</v>
      </c>
      <c r="C27" s="886">
        <f>C10+C11+C24+C25+C26</f>
        <v>250</v>
      </c>
      <c r="D27" s="1227">
        <f>D10+D11+D24+D25+D26</f>
        <v>250</v>
      </c>
      <c r="E27" s="1228">
        <f>E10+E11+E24+E25+E26</f>
        <v>354</v>
      </c>
      <c r="F27" s="1228">
        <f>F10+F11+F24+F25+F26</f>
        <v>354</v>
      </c>
      <c r="G27" s="1308">
        <f>F27/E27%</f>
        <v>100</v>
      </c>
      <c r="H27" s="1229">
        <f t="shared" ref="H27" si="30">H10+H11+H24+H25+H26</f>
        <v>334</v>
      </c>
      <c r="I27" s="1227">
        <f>I10+I11+I24+I25+I26</f>
        <v>300</v>
      </c>
      <c r="J27" s="1228">
        <f>J10+J11+J24+J25+J26</f>
        <v>451</v>
      </c>
      <c r="K27" s="1228">
        <f>K10+K11+K24+K25+K26</f>
        <v>451</v>
      </c>
      <c r="L27" s="1308">
        <f>K27/J27%</f>
        <v>100</v>
      </c>
      <c r="M27" s="1230">
        <f t="shared" ref="M27:W27" si="31">M10+M11+M24+M25+M26</f>
        <v>17312</v>
      </c>
      <c r="N27" s="1228">
        <f t="shared" ref="N27:R27" si="32">N10+N11+N24+N25+N26</f>
        <v>24474</v>
      </c>
      <c r="O27" s="1228">
        <f>O10+O11+O24+O25+O26</f>
        <v>27499</v>
      </c>
      <c r="P27" s="1228">
        <f>P10+P11+P24+P25+P26</f>
        <v>29952</v>
      </c>
      <c r="Q27" s="1308">
        <f>P27/O27%</f>
        <v>108.92032437543183</v>
      </c>
      <c r="R27" s="1231">
        <f t="shared" si="32"/>
        <v>24478</v>
      </c>
      <c r="S27" s="1227">
        <f t="shared" ref="S27" si="33">S10+S11+S24+S25+S26</f>
        <v>0</v>
      </c>
      <c r="T27" s="1228">
        <f>T10+T11+T24+T25+T26</f>
        <v>153</v>
      </c>
      <c r="U27" s="1228">
        <f>U10+U11+U24+U25+U26</f>
        <v>153</v>
      </c>
      <c r="V27" s="1308">
        <f>U27/T27%</f>
        <v>100</v>
      </c>
      <c r="W27" s="1230">
        <f t="shared" si="31"/>
        <v>2266</v>
      </c>
      <c r="X27" s="1228">
        <f t="shared" ref="X27" si="34">X10+X11+X24+X25+X26</f>
        <v>2512</v>
      </c>
      <c r="Y27" s="1228">
        <f>Y10+Y11+Y24+Y25+Y26</f>
        <v>2915</v>
      </c>
      <c r="Z27" s="1228">
        <f>Z10+Z11+Z24+Z25+Z26</f>
        <v>2915</v>
      </c>
      <c r="AA27" s="1308">
        <f>Z27/Y27%</f>
        <v>100</v>
      </c>
      <c r="AB27" s="1231">
        <f>C27+H27+M27+R27+W27</f>
        <v>44640</v>
      </c>
      <c r="AC27" s="1227">
        <f t="shared" si="10"/>
        <v>27536</v>
      </c>
      <c r="AD27" s="1228">
        <f>AD10+AD11+AD24+AD25+AD26</f>
        <v>31372</v>
      </c>
      <c r="AE27" s="1228">
        <f t="shared" si="12"/>
        <v>33825</v>
      </c>
      <c r="AF27" s="1308">
        <f>AE27/AD27%</f>
        <v>107.81907433380083</v>
      </c>
    </row>
    <row r="28" spans="1:32" ht="27.75" x14ac:dyDescent="0.4">
      <c r="A28" s="1656"/>
      <c r="B28" s="1657" t="s">
        <v>422</v>
      </c>
      <c r="C28" s="900">
        <f>C24+C25-C47</f>
        <v>-148691</v>
      </c>
      <c r="D28" s="1232">
        <f t="shared" ref="D28:AB28" si="35">D24+D25-D47</f>
        <v>-163397</v>
      </c>
      <c r="E28" s="1233">
        <f t="shared" ref="E28:H28" si="36">E24+E25-E47</f>
        <v>-165399</v>
      </c>
      <c r="F28" s="1233">
        <f t="shared" ref="F28" si="37">F24+F25-F47</f>
        <v>-151317</v>
      </c>
      <c r="G28" s="1234"/>
      <c r="H28" s="1235">
        <f t="shared" si="36"/>
        <v>-164279</v>
      </c>
      <c r="I28" s="1232">
        <f t="shared" si="35"/>
        <v>-196697</v>
      </c>
      <c r="J28" s="1233">
        <f t="shared" si="35"/>
        <v>-200762</v>
      </c>
      <c r="K28" s="1233">
        <f t="shared" ref="K28" si="38">K24+K25-K47</f>
        <v>-191382</v>
      </c>
      <c r="L28" s="1234"/>
      <c r="M28" s="1236">
        <f t="shared" si="35"/>
        <v>-64376</v>
      </c>
      <c r="N28" s="1233">
        <f t="shared" si="35"/>
        <v>-67988</v>
      </c>
      <c r="O28" s="1233">
        <f t="shared" si="35"/>
        <v>-71842</v>
      </c>
      <c r="P28" s="1233">
        <f t="shared" ref="P28" si="39">P24+P25-P47</f>
        <v>-65095</v>
      </c>
      <c r="Q28" s="1234"/>
      <c r="R28" s="1237">
        <f t="shared" ref="R28" si="40">R24+R25-R47</f>
        <v>-67986</v>
      </c>
      <c r="S28" s="1232">
        <f t="shared" si="35"/>
        <v>-37841</v>
      </c>
      <c r="T28" s="1233">
        <f t="shared" si="35"/>
        <v>-38219</v>
      </c>
      <c r="U28" s="1233">
        <f t="shared" ref="U28" si="41">U24+U25-U47</f>
        <v>-33406</v>
      </c>
      <c r="V28" s="1234"/>
      <c r="W28" s="1236">
        <f t="shared" si="35"/>
        <v>-19080</v>
      </c>
      <c r="X28" s="1233">
        <f t="shared" si="35"/>
        <v>-22401</v>
      </c>
      <c r="Y28" s="1233">
        <f t="shared" si="35"/>
        <v>-26665</v>
      </c>
      <c r="Z28" s="1233">
        <f t="shared" ref="Z28" si="42">Z24+Z25-Z47</f>
        <v>-25039</v>
      </c>
      <c r="AA28" s="1233"/>
      <c r="AB28" s="1237">
        <f t="shared" si="35"/>
        <v>-464412</v>
      </c>
      <c r="AC28" s="1232">
        <f>AC24+AC25-AC47</f>
        <v>-488324</v>
      </c>
      <c r="AD28" s="1233">
        <f t="shared" ref="AD28" si="43">AD24+AD25-AD47</f>
        <v>-502887</v>
      </c>
      <c r="AE28" s="1233">
        <f t="shared" si="12"/>
        <v>-466239</v>
      </c>
      <c r="AF28" s="1234"/>
    </row>
    <row r="29" spans="1:32" ht="27.75" x14ac:dyDescent="0.4">
      <c r="A29" s="1656"/>
      <c r="B29" s="1657" t="s">
        <v>423</v>
      </c>
      <c r="C29" s="900">
        <f>C26-C51</f>
        <v>-235</v>
      </c>
      <c r="D29" s="1232">
        <f t="shared" ref="D29:AD29" si="44">D26-D51</f>
        <v>-1153</v>
      </c>
      <c r="E29" s="1233">
        <f t="shared" ref="E29:H29" si="45">E26-E51</f>
        <v>-1243</v>
      </c>
      <c r="F29" s="1233">
        <f t="shared" ref="F29" si="46">F26-F51</f>
        <v>-1242</v>
      </c>
      <c r="G29" s="1234"/>
      <c r="H29" s="1235">
        <f t="shared" si="45"/>
        <v>-1155</v>
      </c>
      <c r="I29" s="1232">
        <f t="shared" si="44"/>
        <v>-338</v>
      </c>
      <c r="J29" s="1233">
        <f t="shared" si="44"/>
        <v>-338</v>
      </c>
      <c r="K29" s="1233">
        <f t="shared" ref="K29" si="47">K26-K51</f>
        <v>-306</v>
      </c>
      <c r="L29" s="1234"/>
      <c r="M29" s="1236">
        <f t="shared" si="44"/>
        <v>-832</v>
      </c>
      <c r="N29" s="1233">
        <f t="shared" si="44"/>
        <v>-1099</v>
      </c>
      <c r="O29" s="1233">
        <f t="shared" si="44"/>
        <v>-5098</v>
      </c>
      <c r="P29" s="1233">
        <f t="shared" ref="P29" si="48">P26-P51</f>
        <v>-5098</v>
      </c>
      <c r="Q29" s="1234"/>
      <c r="R29" s="1237">
        <f t="shared" ref="R29" si="49">R26-R51</f>
        <v>-1099</v>
      </c>
      <c r="S29" s="1232">
        <f t="shared" si="44"/>
        <v>-216</v>
      </c>
      <c r="T29" s="1233">
        <f t="shared" si="44"/>
        <v>-1076</v>
      </c>
      <c r="U29" s="1233">
        <f t="shared" ref="U29" si="50">U26-U51</f>
        <v>-1076</v>
      </c>
      <c r="V29" s="1234"/>
      <c r="W29" s="1236">
        <f t="shared" si="44"/>
        <v>-40</v>
      </c>
      <c r="X29" s="1233">
        <f t="shared" si="44"/>
        <v>-167</v>
      </c>
      <c r="Y29" s="1233">
        <f t="shared" si="44"/>
        <v>-167</v>
      </c>
      <c r="Z29" s="1233">
        <f t="shared" ref="Z29" si="51">Z26-Z51</f>
        <v>-95</v>
      </c>
      <c r="AA29" s="1233"/>
      <c r="AB29" s="1237">
        <f t="shared" si="44"/>
        <v>-3361</v>
      </c>
      <c r="AC29" s="1232">
        <f t="shared" si="44"/>
        <v>-2973</v>
      </c>
      <c r="AD29" s="1233">
        <f t="shared" si="44"/>
        <v>-7922</v>
      </c>
      <c r="AE29" s="1233">
        <f t="shared" si="12"/>
        <v>-7817</v>
      </c>
      <c r="AF29" s="1234"/>
    </row>
    <row r="30" spans="1:32" ht="46.5" x14ac:dyDescent="0.4">
      <c r="A30" s="1658" t="s">
        <v>429</v>
      </c>
      <c r="B30" s="1416" t="s">
        <v>428</v>
      </c>
      <c r="C30" s="901">
        <v>0</v>
      </c>
      <c r="D30" s="1238">
        <v>0</v>
      </c>
      <c r="E30" s="1239">
        <f>D30+986</f>
        <v>986</v>
      </c>
      <c r="F30" s="1239">
        <v>986</v>
      </c>
      <c r="G30" s="1307">
        <f>F30/E30%</f>
        <v>100</v>
      </c>
      <c r="H30" s="1241">
        <v>2</v>
      </c>
      <c r="I30" s="1238">
        <v>0</v>
      </c>
      <c r="J30" s="1239">
        <f>I30+200</f>
        <v>200</v>
      </c>
      <c r="K30" s="1239">
        <v>200</v>
      </c>
      <c r="L30" s="1307">
        <f>K30/J30%</f>
        <v>100</v>
      </c>
      <c r="M30" s="1242">
        <v>0</v>
      </c>
      <c r="N30" s="1239">
        <v>0</v>
      </c>
      <c r="O30" s="1209">
        <f>1419</f>
        <v>1419</v>
      </c>
      <c r="P30" s="1209">
        <v>1419</v>
      </c>
      <c r="Q30" s="1307">
        <f>P30/O30%</f>
        <v>100</v>
      </c>
      <c r="R30" s="1243">
        <v>2</v>
      </c>
      <c r="S30" s="1238">
        <v>0</v>
      </c>
      <c r="T30" s="1239">
        <f>1191</f>
        <v>1191</v>
      </c>
      <c r="U30" s="1239">
        <v>1191</v>
      </c>
      <c r="V30" s="1307">
        <f>U30/T30%</f>
        <v>100</v>
      </c>
      <c r="W30" s="1242">
        <v>0</v>
      </c>
      <c r="X30" s="1239">
        <f>W30</f>
        <v>0</v>
      </c>
      <c r="Y30" s="1239">
        <v>740</v>
      </c>
      <c r="Z30" s="1239">
        <v>740</v>
      </c>
      <c r="AA30" s="1307">
        <f>Z30/Y30%</f>
        <v>100</v>
      </c>
      <c r="AB30" s="1243">
        <f t="shared" ref="AB30:AB52" si="52">C30+H30+M30+R30+W30</f>
        <v>4</v>
      </c>
      <c r="AC30" s="1238">
        <f>D30+I30+N30+S30+X30</f>
        <v>0</v>
      </c>
      <c r="AD30" s="1239">
        <f>E30+J30+O30+T30+Y30</f>
        <v>4536</v>
      </c>
      <c r="AE30" s="1239">
        <f t="shared" si="12"/>
        <v>4536</v>
      </c>
      <c r="AF30" s="1307">
        <f>AE30/AD30%</f>
        <v>100</v>
      </c>
    </row>
    <row r="31" spans="1:32" ht="46.5" x14ac:dyDescent="0.4">
      <c r="A31" s="1658" t="s">
        <v>429</v>
      </c>
      <c r="B31" s="1416" t="s">
        <v>430</v>
      </c>
      <c r="C31" s="901">
        <v>0</v>
      </c>
      <c r="D31" s="1238">
        <f t="shared" ref="D31" si="53">C31</f>
        <v>0</v>
      </c>
      <c r="E31" s="1239">
        <f>D31</f>
        <v>0</v>
      </c>
      <c r="F31" s="1239">
        <v>0</v>
      </c>
      <c r="G31" s="1307"/>
      <c r="H31" s="1241">
        <f t="shared" ref="H31" si="54">E31</f>
        <v>0</v>
      </c>
      <c r="I31" s="1238">
        <f>H31</f>
        <v>0</v>
      </c>
      <c r="J31" s="1239">
        <f>I31</f>
        <v>0</v>
      </c>
      <c r="K31" s="1239">
        <v>0</v>
      </c>
      <c r="L31" s="1307"/>
      <c r="M31" s="1242">
        <v>0</v>
      </c>
      <c r="N31" s="1239">
        <f>M31</f>
        <v>0</v>
      </c>
      <c r="O31" s="1209">
        <f>N31</f>
        <v>0</v>
      </c>
      <c r="P31" s="1209"/>
      <c r="Q31" s="1307"/>
      <c r="R31" s="1243">
        <f t="shared" ref="R31" si="55">O31</f>
        <v>0</v>
      </c>
      <c r="S31" s="1238">
        <f>R31</f>
        <v>0</v>
      </c>
      <c r="T31" s="1239">
        <f>S31</f>
        <v>0</v>
      </c>
      <c r="U31" s="1239"/>
      <c r="V31" s="1240"/>
      <c r="W31" s="1242">
        <v>0</v>
      </c>
      <c r="X31" s="1239">
        <f>W31</f>
        <v>0</v>
      </c>
      <c r="Y31" s="1239">
        <f>X31</f>
        <v>0</v>
      </c>
      <c r="Z31" s="1239">
        <v>0</v>
      </c>
      <c r="AA31" s="1240"/>
      <c r="AB31" s="1243">
        <f t="shared" si="52"/>
        <v>0</v>
      </c>
      <c r="AC31" s="1238">
        <f t="shared" ref="AC31:AC52" si="56">D31+I31+N31+S31+X31</f>
        <v>0</v>
      </c>
      <c r="AD31" s="1239">
        <f>AC31</f>
        <v>0</v>
      </c>
      <c r="AE31" s="1239">
        <f t="shared" si="12"/>
        <v>0</v>
      </c>
      <c r="AF31" s="1240"/>
    </row>
    <row r="32" spans="1:32" s="255" customFormat="1" ht="27.75" x14ac:dyDescent="0.4">
      <c r="A32" s="1659" t="s">
        <v>432</v>
      </c>
      <c r="B32" s="1417" t="s">
        <v>431</v>
      </c>
      <c r="C32" s="902">
        <f>SUM(C30:C31)</f>
        <v>0</v>
      </c>
      <c r="D32" s="1244">
        <f>SUM(D30:D31)</f>
        <v>0</v>
      </c>
      <c r="E32" s="1245">
        <f>SUM(E30:E31)</f>
        <v>986</v>
      </c>
      <c r="F32" s="1245">
        <f>SUM(F30:F31)</f>
        <v>986</v>
      </c>
      <c r="G32" s="1307">
        <f>F32/E32%</f>
        <v>100</v>
      </c>
      <c r="H32" s="1246">
        <f t="shared" ref="H32" si="57">SUM(H30:H31)</f>
        <v>2</v>
      </c>
      <c r="I32" s="1244">
        <f t="shared" ref="I32" si="58">SUM(I30:I31)</f>
        <v>0</v>
      </c>
      <c r="J32" s="1245">
        <f>SUM(J30:J31)</f>
        <v>200</v>
      </c>
      <c r="K32" s="1245">
        <f>SUM(K30:K31)</f>
        <v>200</v>
      </c>
      <c r="L32" s="1307">
        <f>K32/J32%</f>
        <v>100</v>
      </c>
      <c r="M32" s="1247">
        <f t="shared" ref="M32:W32" si="59">SUM(M30:M31)</f>
        <v>0</v>
      </c>
      <c r="N32" s="1245">
        <f t="shared" si="59"/>
        <v>0</v>
      </c>
      <c r="O32" s="1245">
        <f>SUM(O30:O31)</f>
        <v>1419</v>
      </c>
      <c r="P32" s="1245">
        <f>SUM(P30:P31)</f>
        <v>1419</v>
      </c>
      <c r="Q32" s="1307">
        <f>P32/O32%</f>
        <v>100</v>
      </c>
      <c r="R32" s="1248">
        <f t="shared" ref="R32" si="60">SUM(R30:R31)</f>
        <v>2</v>
      </c>
      <c r="S32" s="1244">
        <f t="shared" ref="S32" si="61">SUM(S30:S31)</f>
        <v>0</v>
      </c>
      <c r="T32" s="1245">
        <f>SUM(T30:T31)</f>
        <v>1191</v>
      </c>
      <c r="U32" s="1245">
        <f>SUM(U30:U31)</f>
        <v>1191</v>
      </c>
      <c r="V32" s="1307">
        <f>U32/T32%</f>
        <v>100</v>
      </c>
      <c r="W32" s="1247">
        <f t="shared" si="59"/>
        <v>0</v>
      </c>
      <c r="X32" s="1245">
        <f t="shared" ref="X32" si="62">SUM(X30:X31)</f>
        <v>0</v>
      </c>
      <c r="Y32" s="1245">
        <f>SUM(Y30:Y31)</f>
        <v>740</v>
      </c>
      <c r="Z32" s="1245">
        <f>SUM(Z30:Z31)</f>
        <v>740</v>
      </c>
      <c r="AA32" s="1307">
        <f>Z32/Y32%</f>
        <v>100</v>
      </c>
      <c r="AB32" s="1248">
        <f t="shared" si="52"/>
        <v>4</v>
      </c>
      <c r="AC32" s="1244">
        <f t="shared" si="56"/>
        <v>0</v>
      </c>
      <c r="AD32" s="1245">
        <f>SUM(AD30:AD31)</f>
        <v>4536</v>
      </c>
      <c r="AE32" s="1245">
        <f t="shared" si="12"/>
        <v>4536</v>
      </c>
      <c r="AF32" s="1307">
        <f>AE32/AD32%</f>
        <v>100</v>
      </c>
    </row>
    <row r="33" spans="1:32" ht="27.75" x14ac:dyDescent="0.4">
      <c r="A33" s="1658" t="s">
        <v>434</v>
      </c>
      <c r="B33" s="1611" t="s">
        <v>516</v>
      </c>
      <c r="C33" s="901">
        <f>C52-C27</f>
        <v>148926</v>
      </c>
      <c r="D33" s="1238">
        <f>D52-D27-D32</f>
        <v>164550</v>
      </c>
      <c r="E33" s="1239">
        <f>E52-E27-E32</f>
        <v>165574</v>
      </c>
      <c r="F33" s="1239">
        <v>151822</v>
      </c>
      <c r="G33" s="1307">
        <f>F33/E33%</f>
        <v>91.694348146448107</v>
      </c>
      <c r="H33" s="1241">
        <f t="shared" ref="H33" si="63">H52-H27-H32</f>
        <v>165350</v>
      </c>
      <c r="I33" s="1238">
        <f>I52-I27-I32</f>
        <v>197035</v>
      </c>
      <c r="J33" s="1249">
        <f>J52-J27-J32</f>
        <v>200830</v>
      </c>
      <c r="K33" s="1249">
        <v>191870</v>
      </c>
      <c r="L33" s="1307">
        <f>K33/J33%</f>
        <v>95.538515162077374</v>
      </c>
      <c r="M33" s="1242">
        <f t="shared" ref="M33:W33" si="64">M52-M27</f>
        <v>65208</v>
      </c>
      <c r="N33" s="1239">
        <f>N52-N27-N32</f>
        <v>69087</v>
      </c>
      <c r="O33" s="1239">
        <f>O52-O27-O32</f>
        <v>75521</v>
      </c>
      <c r="P33" s="1239">
        <v>68916</v>
      </c>
      <c r="Q33" s="1307">
        <f>P33/O33%</f>
        <v>91.254088266839688</v>
      </c>
      <c r="R33" s="1243">
        <f t="shared" ref="R33" si="65">R52-R27-R32</f>
        <v>69083</v>
      </c>
      <c r="S33" s="1238">
        <f t="shared" ref="S33" si="66">S52-S27</f>
        <v>38057</v>
      </c>
      <c r="T33" s="1239">
        <f>T52-T27-T32</f>
        <v>38104</v>
      </c>
      <c r="U33" s="1239">
        <v>33424</v>
      </c>
      <c r="V33" s="1307">
        <f>U33/T33%</f>
        <v>87.71782490027293</v>
      </c>
      <c r="W33" s="1242">
        <f t="shared" si="64"/>
        <v>19120</v>
      </c>
      <c r="X33" s="1239">
        <f t="shared" ref="X33" si="67">X52-X27</f>
        <v>22568</v>
      </c>
      <c r="Y33" s="1249">
        <f>Y52-Y27-Y32</f>
        <v>26092</v>
      </c>
      <c r="Z33" s="1249">
        <v>24553</v>
      </c>
      <c r="AA33" s="1307">
        <f>Z33/Y33%</f>
        <v>94.101640349532417</v>
      </c>
      <c r="AB33" s="1243">
        <f t="shared" si="52"/>
        <v>467687</v>
      </c>
      <c r="AC33" s="1238">
        <f t="shared" si="56"/>
        <v>491297</v>
      </c>
      <c r="AD33" s="1249">
        <f>E33+J33+O33+T33+Y33</f>
        <v>506121</v>
      </c>
      <c r="AE33" s="1249">
        <f t="shared" si="12"/>
        <v>470585</v>
      </c>
      <c r="AF33" s="1307">
        <f>AE33/AD33%</f>
        <v>92.978754092400834</v>
      </c>
    </row>
    <row r="34" spans="1:32" ht="27" x14ac:dyDescent="0.35">
      <c r="A34" s="1655" t="s">
        <v>442</v>
      </c>
      <c r="B34" s="1420" t="s">
        <v>441</v>
      </c>
      <c r="C34" s="886">
        <f t="shared" ref="C34:D34" si="68">SUM(C32:C33)</f>
        <v>148926</v>
      </c>
      <c r="D34" s="1227">
        <f t="shared" si="68"/>
        <v>164550</v>
      </c>
      <c r="E34" s="1228">
        <f>SUM(E32:E33)</f>
        <v>166560</v>
      </c>
      <c r="F34" s="1228">
        <f>SUM(F32:F33)</f>
        <v>152808</v>
      </c>
      <c r="G34" s="1308">
        <f>F34/E34%</f>
        <v>91.743515850144092</v>
      </c>
      <c r="H34" s="1229">
        <f t="shared" ref="H34" si="69">SUM(H32:H33)</f>
        <v>165352</v>
      </c>
      <c r="I34" s="1227">
        <f t="shared" ref="I34" si="70">SUM(I32:I33)</f>
        <v>197035</v>
      </c>
      <c r="J34" s="1228">
        <f>SUM(J32:J33)</f>
        <v>201030</v>
      </c>
      <c r="K34" s="1228">
        <f>SUM(K32:K33)</f>
        <v>192070</v>
      </c>
      <c r="L34" s="1308">
        <f>K34/J34%</f>
        <v>95.542953787991848</v>
      </c>
      <c r="M34" s="1230">
        <f t="shared" ref="M34:W34" si="71">SUM(M32:M33)</f>
        <v>65208</v>
      </c>
      <c r="N34" s="1228">
        <f t="shared" ref="N34:R34" si="72">SUM(N32:N33)</f>
        <v>69087</v>
      </c>
      <c r="O34" s="1228">
        <f>SUM(O32:O33)</f>
        <v>76940</v>
      </c>
      <c r="P34" s="1228">
        <f>SUM(P32:P33)</f>
        <v>70335</v>
      </c>
      <c r="Q34" s="1308">
        <f>P34/O34%</f>
        <v>91.415388614504806</v>
      </c>
      <c r="R34" s="1231">
        <f t="shared" si="72"/>
        <v>69085</v>
      </c>
      <c r="S34" s="1227">
        <f t="shared" ref="S34" si="73">SUM(S32:S33)</f>
        <v>38057</v>
      </c>
      <c r="T34" s="1228">
        <f>SUM(T32:T33)</f>
        <v>39295</v>
      </c>
      <c r="U34" s="1228">
        <f>SUM(U32:U33)</f>
        <v>34615</v>
      </c>
      <c r="V34" s="1308">
        <f>U34/T34%</f>
        <v>88.090087797429703</v>
      </c>
      <c r="W34" s="1230">
        <f t="shared" si="71"/>
        <v>19120</v>
      </c>
      <c r="X34" s="1228">
        <f t="shared" ref="X34" si="74">SUM(X32:X33)</f>
        <v>22568</v>
      </c>
      <c r="Y34" s="1228">
        <f>SUM(Y32:Y33)</f>
        <v>26832</v>
      </c>
      <c r="Z34" s="1228">
        <f>SUM(Z32:Z33)</f>
        <v>25293</v>
      </c>
      <c r="AA34" s="1308">
        <f>Z34/Y34%</f>
        <v>94.264311270125219</v>
      </c>
      <c r="AB34" s="1231">
        <f t="shared" si="52"/>
        <v>467691</v>
      </c>
      <c r="AC34" s="1227">
        <f t="shared" si="56"/>
        <v>491297</v>
      </c>
      <c r="AD34" s="1228">
        <f>SUM(AD32:AD33)</f>
        <v>510657</v>
      </c>
      <c r="AE34" s="1228">
        <f t="shared" si="12"/>
        <v>475121</v>
      </c>
      <c r="AF34" s="1308">
        <f>AE34/AD34%</f>
        <v>93.041121535590435</v>
      </c>
    </row>
    <row r="35" spans="1:32" ht="27" x14ac:dyDescent="0.35">
      <c r="A35" s="1660" t="s">
        <v>523</v>
      </c>
      <c r="B35" s="1661" t="s">
        <v>63</v>
      </c>
      <c r="C35" s="903">
        <f t="shared" ref="C35:D35" si="75">C27+C34</f>
        <v>149176</v>
      </c>
      <c r="D35" s="1250">
        <f t="shared" si="75"/>
        <v>164800</v>
      </c>
      <c r="E35" s="1251">
        <f>E27+E34</f>
        <v>166914</v>
      </c>
      <c r="F35" s="1251">
        <f>F27+F34</f>
        <v>153162</v>
      </c>
      <c r="G35" s="1309">
        <f>F35/E35%</f>
        <v>91.76102663647147</v>
      </c>
      <c r="H35" s="1252">
        <f t="shared" ref="H35" si="76">H27+H34</f>
        <v>165686</v>
      </c>
      <c r="I35" s="1250">
        <f t="shared" ref="I35" si="77">I27+I34</f>
        <v>197335</v>
      </c>
      <c r="J35" s="1251">
        <f>J27+J34</f>
        <v>201481</v>
      </c>
      <c r="K35" s="1251">
        <f>K27+K34</f>
        <v>192521</v>
      </c>
      <c r="L35" s="1309">
        <f>K35/J35%</f>
        <v>95.552930549282564</v>
      </c>
      <c r="M35" s="1253">
        <f t="shared" ref="M35:W35" si="78">M27+M34</f>
        <v>82520</v>
      </c>
      <c r="N35" s="1251">
        <f t="shared" ref="N35:R35" si="79">N27+N34</f>
        <v>93561</v>
      </c>
      <c r="O35" s="1251">
        <f>O27+O34</f>
        <v>104439</v>
      </c>
      <c r="P35" s="1251">
        <f>P27+P34</f>
        <v>100287</v>
      </c>
      <c r="Q35" s="1309">
        <f>P35/O35%</f>
        <v>96.024473616177858</v>
      </c>
      <c r="R35" s="1254">
        <f t="shared" si="79"/>
        <v>93563</v>
      </c>
      <c r="S35" s="1250">
        <f t="shared" ref="S35" si="80">S27+S34</f>
        <v>38057</v>
      </c>
      <c r="T35" s="1251">
        <f>T27+T34</f>
        <v>39448</v>
      </c>
      <c r="U35" s="1251">
        <f>U27+U34</f>
        <v>34768</v>
      </c>
      <c r="V35" s="1309">
        <f>U35/T35%</f>
        <v>88.136280673291424</v>
      </c>
      <c r="W35" s="1253">
        <f t="shared" si="78"/>
        <v>21386</v>
      </c>
      <c r="X35" s="1251">
        <f t="shared" ref="X35" si="81">X27+X34</f>
        <v>25080</v>
      </c>
      <c r="Y35" s="1251">
        <f>Y27+Y34</f>
        <v>29747</v>
      </c>
      <c r="Z35" s="1251">
        <f>Z27+Z34</f>
        <v>28208</v>
      </c>
      <c r="AA35" s="1309">
        <f>Z35/Y35%</f>
        <v>94.826369045618037</v>
      </c>
      <c r="AB35" s="1254">
        <f t="shared" si="52"/>
        <v>512331</v>
      </c>
      <c r="AC35" s="1250">
        <f t="shared" si="56"/>
        <v>518833</v>
      </c>
      <c r="AD35" s="1251">
        <f>AD27+AD34</f>
        <v>542029</v>
      </c>
      <c r="AE35" s="1251">
        <f t="shared" si="12"/>
        <v>508946</v>
      </c>
      <c r="AF35" s="1309">
        <f>AE35/AD35%</f>
        <v>93.896452034854221</v>
      </c>
    </row>
    <row r="36" spans="1:32" ht="27.75" x14ac:dyDescent="0.4">
      <c r="A36" s="1662" t="s">
        <v>89</v>
      </c>
      <c r="B36" s="1430" t="s">
        <v>289</v>
      </c>
      <c r="C36" s="896">
        <v>106296</v>
      </c>
      <c r="D36" s="1208">
        <v>122477</v>
      </c>
      <c r="E36" s="1209">
        <f>D36+27+7+18+7+1+7+102+4+4+4+4+4+610+4+4-18+4+1</f>
        <v>123271</v>
      </c>
      <c r="F36" s="1209">
        <v>113296</v>
      </c>
      <c r="G36" s="1307">
        <f>F36/E36%</f>
        <v>91.908072458242401</v>
      </c>
      <c r="H36" s="1211">
        <v>122477</v>
      </c>
      <c r="I36" s="1208">
        <v>141536</v>
      </c>
      <c r="J36" s="1209">
        <f>I36+27+14+18+14+14+1+112+15+14+14+15+15+711+14+14-1124-18+14</f>
        <v>141420</v>
      </c>
      <c r="K36" s="1209">
        <v>136934</v>
      </c>
      <c r="L36" s="1307">
        <f>K36/J36%</f>
        <v>96.827888558902558</v>
      </c>
      <c r="M36" s="1212">
        <v>30047</v>
      </c>
      <c r="N36" s="1209">
        <v>35450</v>
      </c>
      <c r="O36" s="1209">
        <f>N36+57+210+38+111+246-1+55+244+200+55+226+55+237+55+233+1+55+231+55+231+650+28+55+223+55+224-38+55+225+1-25+497</f>
        <v>39994</v>
      </c>
      <c r="P36" s="1209">
        <f>39834-625</f>
        <v>39209</v>
      </c>
      <c r="Q36" s="1307">
        <f>P36/O36%</f>
        <v>98.037205580837124</v>
      </c>
      <c r="R36" s="1213">
        <v>35450</v>
      </c>
      <c r="S36" s="1208">
        <v>21444</v>
      </c>
      <c r="T36" s="1209">
        <f>S36+34+3+23+10-23-3</f>
        <v>21488</v>
      </c>
      <c r="U36" s="1209">
        <f>20466-3</f>
        <v>20463</v>
      </c>
      <c r="V36" s="1307">
        <f>U36/T36%</f>
        <v>95.22989575577067</v>
      </c>
      <c r="W36" s="1212">
        <v>14659</v>
      </c>
      <c r="X36" s="1209">
        <v>17291</v>
      </c>
      <c r="Y36" s="1209">
        <f>X36+87+25+101+112+25+25+112+25+112+112+25+25+112+25+112+25+112+55+130+25+25+140+1124+25+140+2+1</f>
        <v>20130</v>
      </c>
      <c r="Z36" s="1209">
        <v>19805</v>
      </c>
      <c r="AA36" s="1307">
        <f>Z36/Y36%</f>
        <v>98.385494287133625</v>
      </c>
      <c r="AB36" s="1214">
        <f t="shared" si="52"/>
        <v>308929</v>
      </c>
      <c r="AC36" s="1208">
        <f t="shared" si="56"/>
        <v>338198</v>
      </c>
      <c r="AD36" s="1209">
        <f t="shared" ref="AD36:AD52" si="82">E36+J36+O36+T36+Y36</f>
        <v>346303</v>
      </c>
      <c r="AE36" s="1209">
        <f t="shared" si="12"/>
        <v>329707</v>
      </c>
      <c r="AF36" s="1307">
        <f>AE36/AD36%</f>
        <v>95.207664963918873</v>
      </c>
    </row>
    <row r="37" spans="1:32" ht="27.75" hidden="1" x14ac:dyDescent="0.4">
      <c r="A37" s="1662" t="s">
        <v>90</v>
      </c>
      <c r="B37" s="1430" t="s">
        <v>91</v>
      </c>
      <c r="C37" s="896">
        <v>2250</v>
      </c>
      <c r="D37" s="1208">
        <v>2250</v>
      </c>
      <c r="E37" s="1209">
        <v>2250</v>
      </c>
      <c r="F37" s="1209"/>
      <c r="G37" s="1210"/>
      <c r="H37" s="1211">
        <v>2250</v>
      </c>
      <c r="I37" s="1208">
        <v>2730</v>
      </c>
      <c r="J37" s="1209">
        <v>2250</v>
      </c>
      <c r="K37" s="1209"/>
      <c r="L37" s="1210"/>
      <c r="M37" s="1212">
        <v>810</v>
      </c>
      <c r="N37" s="1209">
        <v>810</v>
      </c>
      <c r="O37" s="1209">
        <v>2250</v>
      </c>
      <c r="P37" s="1209"/>
      <c r="Q37" s="1210"/>
      <c r="R37" s="1213">
        <v>810</v>
      </c>
      <c r="S37" s="1208">
        <v>965</v>
      </c>
      <c r="T37" s="1209">
        <v>2250</v>
      </c>
      <c r="U37" s="1209"/>
      <c r="V37" s="1210"/>
      <c r="W37" s="1212">
        <v>420</v>
      </c>
      <c r="X37" s="1209">
        <v>420</v>
      </c>
      <c r="Y37" s="1209">
        <v>2250</v>
      </c>
      <c r="Z37" s="1209"/>
      <c r="AA37" s="1210"/>
      <c r="AB37" s="1214">
        <f t="shared" si="52"/>
        <v>6540</v>
      </c>
      <c r="AC37" s="1208">
        <f t="shared" si="56"/>
        <v>7175</v>
      </c>
      <c r="AD37" s="1209">
        <f t="shared" si="82"/>
        <v>11250</v>
      </c>
      <c r="AE37" s="1209">
        <f t="shared" si="12"/>
        <v>0</v>
      </c>
      <c r="AF37" s="1307">
        <f t="shared" ref="AF37:AF38" si="83">AE37/AD37%</f>
        <v>0</v>
      </c>
    </row>
    <row r="38" spans="1:32" ht="27.75" x14ac:dyDescent="0.4">
      <c r="A38" s="1662" t="s">
        <v>84</v>
      </c>
      <c r="B38" s="1430" t="s">
        <v>85</v>
      </c>
      <c r="C38" s="896"/>
      <c r="D38" s="1208">
        <f t="shared" ref="D38:D50" si="84">C38</f>
        <v>0</v>
      </c>
      <c r="E38" s="1209">
        <f t="shared" ref="E38" si="85">D38</f>
        <v>0</v>
      </c>
      <c r="F38" s="1209">
        <v>0</v>
      </c>
      <c r="G38" s="1210"/>
      <c r="H38" s="1211">
        <f t="shared" ref="H38" si="86">E38</f>
        <v>0</v>
      </c>
      <c r="I38" s="1208"/>
      <c r="J38" s="1209">
        <f t="shared" ref="J38" si="87">I38</f>
        <v>0</v>
      </c>
      <c r="K38" s="1209">
        <v>0</v>
      </c>
      <c r="L38" s="1210"/>
      <c r="M38" s="1212">
        <v>600</v>
      </c>
      <c r="N38" s="1209">
        <v>600</v>
      </c>
      <c r="O38" s="1209">
        <f>N38+25</f>
        <v>625</v>
      </c>
      <c r="P38" s="1209">
        <v>625</v>
      </c>
      <c r="Q38" s="1307">
        <f>P38/O38%</f>
        <v>100</v>
      </c>
      <c r="R38" s="1213">
        <v>600</v>
      </c>
      <c r="S38" s="1208">
        <v>0</v>
      </c>
      <c r="T38" s="1209">
        <v>3</v>
      </c>
      <c r="U38" s="1209">
        <v>3</v>
      </c>
      <c r="V38" s="1307">
        <f>U38/T38%</f>
        <v>100</v>
      </c>
      <c r="W38" s="1212"/>
      <c r="X38" s="1209">
        <f t="shared" ref="X38:Y46" si="88">W38</f>
        <v>0</v>
      </c>
      <c r="Y38" s="1209">
        <f t="shared" si="88"/>
        <v>0</v>
      </c>
      <c r="Z38" s="1209">
        <v>0</v>
      </c>
      <c r="AA38" s="1307"/>
      <c r="AB38" s="1214">
        <f t="shared" si="52"/>
        <v>1200</v>
      </c>
      <c r="AC38" s="1208">
        <f t="shared" si="56"/>
        <v>600</v>
      </c>
      <c r="AD38" s="1209">
        <f t="shared" si="82"/>
        <v>628</v>
      </c>
      <c r="AE38" s="1209">
        <f t="shared" si="12"/>
        <v>628</v>
      </c>
      <c r="AF38" s="1307">
        <f t="shared" si="83"/>
        <v>100</v>
      </c>
    </row>
    <row r="39" spans="1:32" s="255" customFormat="1" ht="27" x14ac:dyDescent="0.35">
      <c r="A39" s="1663" t="s">
        <v>288</v>
      </c>
      <c r="B39" s="1664" t="s">
        <v>289</v>
      </c>
      <c r="C39" s="895">
        <f>C36+C38</f>
        <v>106296</v>
      </c>
      <c r="D39" s="1201">
        <f t="shared" ref="D39:W39" si="89">D36+D38</f>
        <v>122477</v>
      </c>
      <c r="E39" s="1202">
        <f>E36+E38</f>
        <v>123271</v>
      </c>
      <c r="F39" s="1202">
        <f>F36+F38</f>
        <v>113296</v>
      </c>
      <c r="G39" s="1306">
        <f>F39/E39%</f>
        <v>91.908072458242401</v>
      </c>
      <c r="H39" s="1204">
        <f t="shared" ref="H39" si="90">H36+H38</f>
        <v>122477</v>
      </c>
      <c r="I39" s="1201">
        <f t="shared" si="89"/>
        <v>141536</v>
      </c>
      <c r="J39" s="1202">
        <f>J36+J38</f>
        <v>141420</v>
      </c>
      <c r="K39" s="1202">
        <f>K36+K38</f>
        <v>136934</v>
      </c>
      <c r="L39" s="1306">
        <f>K39/J39%</f>
        <v>96.827888558902558</v>
      </c>
      <c r="M39" s="1220">
        <f t="shared" si="89"/>
        <v>30647</v>
      </c>
      <c r="N39" s="1202">
        <f>N36+N38</f>
        <v>36050</v>
      </c>
      <c r="O39" s="1202">
        <f>O36+O38</f>
        <v>40619</v>
      </c>
      <c r="P39" s="1202">
        <f>P36+P38</f>
        <v>39834</v>
      </c>
      <c r="Q39" s="1306">
        <f>P39/O39%</f>
        <v>98.067406878554365</v>
      </c>
      <c r="R39" s="1206">
        <f t="shared" ref="R39" si="91">R36+R38</f>
        <v>36050</v>
      </c>
      <c r="S39" s="1201">
        <f t="shared" si="89"/>
        <v>21444</v>
      </c>
      <c r="T39" s="1202">
        <f>T36+T38</f>
        <v>21491</v>
      </c>
      <c r="U39" s="1202">
        <f>U36+U38</f>
        <v>20466</v>
      </c>
      <c r="V39" s="1306">
        <f>U39/T39%</f>
        <v>95.230561630449955</v>
      </c>
      <c r="W39" s="1220">
        <f t="shared" si="89"/>
        <v>14659</v>
      </c>
      <c r="X39" s="1202">
        <f>X36+X38</f>
        <v>17291</v>
      </c>
      <c r="Y39" s="1202">
        <f>Y36+Y38</f>
        <v>20130</v>
      </c>
      <c r="Z39" s="1202">
        <f>Z36+Z38</f>
        <v>19805</v>
      </c>
      <c r="AA39" s="1306">
        <f>Z39/Y39%</f>
        <v>98.385494287133625</v>
      </c>
      <c r="AB39" s="1207">
        <f t="shared" si="52"/>
        <v>310129</v>
      </c>
      <c r="AC39" s="1201">
        <f t="shared" si="56"/>
        <v>338798</v>
      </c>
      <c r="AD39" s="1202">
        <f t="shared" si="82"/>
        <v>346931</v>
      </c>
      <c r="AE39" s="1202">
        <f t="shared" si="12"/>
        <v>330335</v>
      </c>
      <c r="AF39" s="1306">
        <f>AE39/AD39%</f>
        <v>95.21633984855778</v>
      </c>
    </row>
    <row r="40" spans="1:32" s="255" customFormat="1" ht="45" x14ac:dyDescent="0.35">
      <c r="A40" s="1663" t="s">
        <v>290</v>
      </c>
      <c r="B40" s="1417" t="s">
        <v>291</v>
      </c>
      <c r="C40" s="895">
        <v>29083</v>
      </c>
      <c r="D40" s="1201">
        <v>28662</v>
      </c>
      <c r="E40" s="1202">
        <f>D40+7+2+2-1+2+1+1+1+1+1+134+1+1+1-1</f>
        <v>28815</v>
      </c>
      <c r="F40" s="1202">
        <v>25834</v>
      </c>
      <c r="G40" s="1306">
        <f t="shared" ref="G40:G41" si="92">F40/E40%</f>
        <v>89.654693735901446</v>
      </c>
      <c r="H40" s="1204">
        <v>28662</v>
      </c>
      <c r="I40" s="1201">
        <v>34137</v>
      </c>
      <c r="J40" s="1202">
        <f>I40+3+157-1-304+1</f>
        <v>33993</v>
      </c>
      <c r="K40" s="1202">
        <v>31879</v>
      </c>
      <c r="L40" s="1306">
        <f t="shared" ref="L40:L41" si="93">K40/J40%</f>
        <v>93.781072573765186</v>
      </c>
      <c r="M40" s="1205">
        <v>8765</v>
      </c>
      <c r="N40" s="1202">
        <v>9224</v>
      </c>
      <c r="O40" s="1202">
        <f>N40+15+46+24+54+1+12+54+12+50+12+52+12+51+12+51+12+51+284+12+49+12+49+12+49+1+7+1</f>
        <v>10221</v>
      </c>
      <c r="P40" s="1202">
        <v>9421</v>
      </c>
      <c r="Q40" s="1306">
        <f t="shared" ref="Q40:Q42" si="94">P40/O40%</f>
        <v>92.172977203796108</v>
      </c>
      <c r="R40" s="1206">
        <v>9224</v>
      </c>
      <c r="S40" s="1201">
        <v>5445</v>
      </c>
      <c r="T40" s="1202">
        <f>S40+9+1</f>
        <v>5455</v>
      </c>
      <c r="U40" s="1202">
        <v>5300</v>
      </c>
      <c r="V40" s="1306">
        <f t="shared" ref="V40:V41" si="95">U40/T40%</f>
        <v>97.158570119156735</v>
      </c>
      <c r="W40" s="1205">
        <v>4047</v>
      </c>
      <c r="X40" s="1202">
        <v>4303</v>
      </c>
      <c r="Y40" s="1202">
        <f>X40+23+6+22+24+6+6+24+6+24+24+6+1+6+24+6+24+6+25+12+29+6+6+30+304+6+30-1</f>
        <v>4988</v>
      </c>
      <c r="Z40" s="1202">
        <v>4576</v>
      </c>
      <c r="AA40" s="1306">
        <f t="shared" ref="AA40:AA41" si="96">Z40/Y40%</f>
        <v>91.740176423416187</v>
      </c>
      <c r="AB40" s="1207">
        <f t="shared" si="52"/>
        <v>79781</v>
      </c>
      <c r="AC40" s="1201">
        <f t="shared" si="56"/>
        <v>81771</v>
      </c>
      <c r="AD40" s="1202">
        <f t="shared" si="82"/>
        <v>83472</v>
      </c>
      <c r="AE40" s="1202">
        <f t="shared" si="12"/>
        <v>77010</v>
      </c>
      <c r="AF40" s="1306">
        <f t="shared" ref="AF40:AF47" si="97">AE40/AD40%</f>
        <v>92.258481886141453</v>
      </c>
    </row>
    <row r="41" spans="1:32" s="255" customFormat="1" ht="27" x14ac:dyDescent="0.35">
      <c r="A41" s="1663" t="s">
        <v>292</v>
      </c>
      <c r="B41" s="1417" t="s">
        <v>293</v>
      </c>
      <c r="C41" s="895">
        <v>13562</v>
      </c>
      <c r="D41" s="1201">
        <v>12508</v>
      </c>
      <c r="E41" s="1202">
        <f>D41+179+82+100-168</f>
        <v>12701</v>
      </c>
      <c r="F41" s="1202">
        <v>11575</v>
      </c>
      <c r="G41" s="1306">
        <f t="shared" si="92"/>
        <v>91.134556334146907</v>
      </c>
      <c r="H41" s="1204">
        <v>12508</v>
      </c>
      <c r="I41" s="1201">
        <v>21324</v>
      </c>
      <c r="J41" s="1202">
        <f>I41+539+3628+70+21+60</f>
        <v>25642</v>
      </c>
      <c r="K41" s="1202">
        <v>22862</v>
      </c>
      <c r="L41" s="1306">
        <f t="shared" si="93"/>
        <v>89.158411980344738</v>
      </c>
      <c r="M41" s="1205">
        <v>42276</v>
      </c>
      <c r="N41" s="1202">
        <v>47188</v>
      </c>
      <c r="O41" s="1202">
        <f>N41+948+4-948+60+222+200+500-132+247-28-330-154+237+148-1004+128</f>
        <v>47286</v>
      </c>
      <c r="P41" s="1202">
        <v>44577</v>
      </c>
      <c r="Q41" s="1306">
        <f t="shared" si="94"/>
        <v>94.271031594975256</v>
      </c>
      <c r="R41" s="1206">
        <v>47188</v>
      </c>
      <c r="S41" s="1201">
        <v>10952</v>
      </c>
      <c r="T41" s="1202">
        <f>S41-17-198-154-321-170+153</f>
        <v>10245</v>
      </c>
      <c r="U41" s="1202">
        <v>6612</v>
      </c>
      <c r="V41" s="1306">
        <f t="shared" si="95"/>
        <v>64.53879941434846</v>
      </c>
      <c r="W41" s="1205">
        <v>2640</v>
      </c>
      <c r="X41" s="1202">
        <v>3319</v>
      </c>
      <c r="Y41" s="1202">
        <f>X41+63+340</f>
        <v>3722</v>
      </c>
      <c r="Z41" s="1202">
        <v>2833</v>
      </c>
      <c r="AA41" s="1306">
        <f t="shared" si="96"/>
        <v>76.114991939817301</v>
      </c>
      <c r="AB41" s="1207">
        <f t="shared" si="52"/>
        <v>118174</v>
      </c>
      <c r="AC41" s="1201">
        <f t="shared" si="56"/>
        <v>95291</v>
      </c>
      <c r="AD41" s="1202">
        <f t="shared" si="82"/>
        <v>99596</v>
      </c>
      <c r="AE41" s="1202">
        <f t="shared" si="12"/>
        <v>88459</v>
      </c>
      <c r="AF41" s="1306">
        <f t="shared" si="97"/>
        <v>88.81782400899634</v>
      </c>
    </row>
    <row r="42" spans="1:32" ht="27.75" x14ac:dyDescent="0.4">
      <c r="A42" s="1662"/>
      <c r="B42" s="864" t="s">
        <v>665</v>
      </c>
      <c r="C42" s="904">
        <v>0</v>
      </c>
      <c r="D42" s="1208">
        <f t="shared" si="84"/>
        <v>0</v>
      </c>
      <c r="E42" s="1209">
        <f t="shared" ref="E42:E45" si="98">D42</f>
        <v>0</v>
      </c>
      <c r="F42" s="1209">
        <v>0</v>
      </c>
      <c r="G42" s="1210"/>
      <c r="H42" s="1211">
        <f t="shared" ref="H42:H46" si="99">E42</f>
        <v>0</v>
      </c>
      <c r="I42" s="1208">
        <f t="shared" ref="I42:J50" si="100">H42</f>
        <v>0</v>
      </c>
      <c r="J42" s="1209">
        <f t="shared" si="100"/>
        <v>0</v>
      </c>
      <c r="K42" s="1209">
        <v>0</v>
      </c>
      <c r="L42" s="1210"/>
      <c r="M42" s="1212">
        <v>500</v>
      </c>
      <c r="N42" s="1209">
        <v>500</v>
      </c>
      <c r="O42" s="1209">
        <f t="shared" ref="O42" si="101">N42</f>
        <v>500</v>
      </c>
      <c r="P42" s="1209">
        <v>500</v>
      </c>
      <c r="Q42" s="1210">
        <f t="shared" si="94"/>
        <v>100</v>
      </c>
      <c r="R42" s="1213">
        <v>500</v>
      </c>
      <c r="S42" s="1208"/>
      <c r="T42" s="1209">
        <f t="shared" ref="T42:T45" si="102">S42</f>
        <v>0</v>
      </c>
      <c r="U42" s="1209">
        <v>0</v>
      </c>
      <c r="V42" s="1210"/>
      <c r="W42" s="1212">
        <v>0</v>
      </c>
      <c r="X42" s="1209">
        <f t="shared" si="88"/>
        <v>0</v>
      </c>
      <c r="Y42" s="1209">
        <f t="shared" si="88"/>
        <v>0</v>
      </c>
      <c r="Z42" s="1209">
        <v>0</v>
      </c>
      <c r="AA42" s="1209"/>
      <c r="AB42" s="1214">
        <f t="shared" si="52"/>
        <v>1000</v>
      </c>
      <c r="AC42" s="1208">
        <f t="shared" si="56"/>
        <v>500</v>
      </c>
      <c r="AD42" s="1209">
        <f t="shared" si="82"/>
        <v>500</v>
      </c>
      <c r="AE42" s="1209">
        <f t="shared" si="12"/>
        <v>500</v>
      </c>
      <c r="AF42" s="1307">
        <f t="shared" si="97"/>
        <v>100</v>
      </c>
    </row>
    <row r="43" spans="1:32" ht="27.75" x14ac:dyDescent="0.4">
      <c r="A43" s="1662"/>
      <c r="B43" s="864" t="s">
        <v>666</v>
      </c>
      <c r="C43" s="904">
        <v>0</v>
      </c>
      <c r="D43" s="1208">
        <f t="shared" si="84"/>
        <v>0</v>
      </c>
      <c r="E43" s="1209">
        <f t="shared" si="98"/>
        <v>0</v>
      </c>
      <c r="F43" s="1209">
        <v>0</v>
      </c>
      <c r="G43" s="1210"/>
      <c r="H43" s="1211">
        <f t="shared" si="99"/>
        <v>0</v>
      </c>
      <c r="I43" s="1208">
        <f t="shared" si="100"/>
        <v>0</v>
      </c>
      <c r="J43" s="1209">
        <f t="shared" si="100"/>
        <v>0</v>
      </c>
      <c r="K43" s="1209">
        <v>0</v>
      </c>
      <c r="L43" s="1210"/>
      <c r="M43" s="1212">
        <v>6500</v>
      </c>
      <c r="N43" s="1209">
        <v>13500</v>
      </c>
      <c r="O43" s="1209">
        <v>15111</v>
      </c>
      <c r="P43" s="1209">
        <v>14681</v>
      </c>
      <c r="Q43" s="1210"/>
      <c r="R43" s="1213">
        <v>13500</v>
      </c>
      <c r="S43" s="1208"/>
      <c r="T43" s="1209">
        <f t="shared" si="102"/>
        <v>0</v>
      </c>
      <c r="U43" s="1209">
        <v>0</v>
      </c>
      <c r="V43" s="1210"/>
      <c r="W43" s="1212">
        <v>0</v>
      </c>
      <c r="X43" s="1209">
        <f t="shared" si="88"/>
        <v>0</v>
      </c>
      <c r="Y43" s="1209">
        <f t="shared" si="88"/>
        <v>0</v>
      </c>
      <c r="Z43" s="1209">
        <v>0</v>
      </c>
      <c r="AA43" s="1209"/>
      <c r="AB43" s="1214">
        <f t="shared" si="52"/>
        <v>20000</v>
      </c>
      <c r="AC43" s="1208">
        <f t="shared" si="56"/>
        <v>13500</v>
      </c>
      <c r="AD43" s="1209">
        <f t="shared" si="82"/>
        <v>15111</v>
      </c>
      <c r="AE43" s="1209">
        <f t="shared" si="12"/>
        <v>14681</v>
      </c>
      <c r="AF43" s="1307">
        <f t="shared" si="97"/>
        <v>97.154390841109119</v>
      </c>
    </row>
    <row r="44" spans="1:32" ht="40.5" x14ac:dyDescent="0.4">
      <c r="A44" s="1662"/>
      <c r="B44" s="864" t="s">
        <v>667</v>
      </c>
      <c r="C44" s="904">
        <v>0</v>
      </c>
      <c r="D44" s="1208">
        <f t="shared" si="84"/>
        <v>0</v>
      </c>
      <c r="E44" s="1209">
        <f t="shared" si="98"/>
        <v>0</v>
      </c>
      <c r="F44" s="1209">
        <v>0</v>
      </c>
      <c r="G44" s="1210"/>
      <c r="H44" s="1211">
        <f t="shared" si="99"/>
        <v>0</v>
      </c>
      <c r="I44" s="1208">
        <f t="shared" si="100"/>
        <v>0</v>
      </c>
      <c r="J44" s="1209">
        <f t="shared" si="100"/>
        <v>0</v>
      </c>
      <c r="K44" s="1209">
        <v>0</v>
      </c>
      <c r="L44" s="1210"/>
      <c r="M44" s="1212">
        <v>2100</v>
      </c>
      <c r="N44" s="1209">
        <v>2100</v>
      </c>
      <c r="O44" s="1209">
        <v>2491</v>
      </c>
      <c r="P44" s="1209">
        <v>2491</v>
      </c>
      <c r="Q44" s="1210"/>
      <c r="R44" s="1213">
        <v>2100</v>
      </c>
      <c r="S44" s="1208"/>
      <c r="T44" s="1209">
        <f t="shared" si="102"/>
        <v>0</v>
      </c>
      <c r="U44" s="1209">
        <v>0</v>
      </c>
      <c r="V44" s="1210"/>
      <c r="W44" s="1212">
        <v>0</v>
      </c>
      <c r="X44" s="1209">
        <f t="shared" si="88"/>
        <v>0</v>
      </c>
      <c r="Y44" s="1209">
        <f t="shared" si="88"/>
        <v>0</v>
      </c>
      <c r="Z44" s="1209">
        <v>0</v>
      </c>
      <c r="AA44" s="1209"/>
      <c r="AB44" s="1214">
        <f t="shared" si="52"/>
        <v>4200</v>
      </c>
      <c r="AC44" s="1208">
        <f t="shared" si="56"/>
        <v>2100</v>
      </c>
      <c r="AD44" s="1209">
        <f t="shared" si="82"/>
        <v>2491</v>
      </c>
      <c r="AE44" s="1209">
        <f t="shared" si="12"/>
        <v>2491</v>
      </c>
      <c r="AF44" s="1307">
        <f t="shared" si="97"/>
        <v>100</v>
      </c>
    </row>
    <row r="45" spans="1:32" ht="27.75" x14ac:dyDescent="0.4">
      <c r="A45" s="1662"/>
      <c r="B45" s="864" t="s">
        <v>668</v>
      </c>
      <c r="C45" s="904">
        <v>0</v>
      </c>
      <c r="D45" s="1208">
        <f t="shared" si="84"/>
        <v>0</v>
      </c>
      <c r="E45" s="1209">
        <f t="shared" si="98"/>
        <v>0</v>
      </c>
      <c r="F45" s="1209">
        <v>0</v>
      </c>
      <c r="G45" s="1210"/>
      <c r="H45" s="1211">
        <f t="shared" si="99"/>
        <v>0</v>
      </c>
      <c r="I45" s="1208">
        <f t="shared" si="100"/>
        <v>0</v>
      </c>
      <c r="J45" s="1209">
        <f t="shared" si="100"/>
        <v>0</v>
      </c>
      <c r="K45" s="1209">
        <v>0</v>
      </c>
      <c r="L45" s="1210"/>
      <c r="M45" s="1212">
        <v>6250</v>
      </c>
      <c r="N45" s="1209">
        <v>6250</v>
      </c>
      <c r="O45" s="1209">
        <v>7803</v>
      </c>
      <c r="P45" s="1209">
        <v>7803</v>
      </c>
      <c r="Q45" s="1210"/>
      <c r="R45" s="1213">
        <v>6250</v>
      </c>
      <c r="S45" s="1208"/>
      <c r="T45" s="1209">
        <f t="shared" si="102"/>
        <v>0</v>
      </c>
      <c r="U45" s="1209">
        <v>0</v>
      </c>
      <c r="V45" s="1210"/>
      <c r="W45" s="1212">
        <v>0</v>
      </c>
      <c r="X45" s="1209">
        <f t="shared" si="88"/>
        <v>0</v>
      </c>
      <c r="Y45" s="1209">
        <f t="shared" si="88"/>
        <v>0</v>
      </c>
      <c r="Z45" s="1209">
        <v>0</v>
      </c>
      <c r="AA45" s="1209"/>
      <c r="AB45" s="1214">
        <f t="shared" si="52"/>
        <v>12500</v>
      </c>
      <c r="AC45" s="1208">
        <f t="shared" si="56"/>
        <v>6250</v>
      </c>
      <c r="AD45" s="1209">
        <f t="shared" si="82"/>
        <v>7803</v>
      </c>
      <c r="AE45" s="1209">
        <f t="shared" si="12"/>
        <v>7803</v>
      </c>
      <c r="AF45" s="1307">
        <f t="shared" si="97"/>
        <v>100</v>
      </c>
    </row>
    <row r="46" spans="1:32" s="255" customFormat="1" ht="27.75" x14ac:dyDescent="0.4">
      <c r="A46" s="1663" t="s">
        <v>301</v>
      </c>
      <c r="B46" s="1417" t="s">
        <v>302</v>
      </c>
      <c r="C46" s="905">
        <v>0</v>
      </c>
      <c r="D46" s="1201"/>
      <c r="E46" s="1202">
        <f>D46+884</f>
        <v>884</v>
      </c>
      <c r="F46" s="1202">
        <v>884</v>
      </c>
      <c r="G46" s="1307">
        <f t="shared" ref="G46:G48" si="103">F46/E46%</f>
        <v>100</v>
      </c>
      <c r="H46" s="1204">
        <f t="shared" si="99"/>
        <v>884</v>
      </c>
      <c r="I46" s="1201">
        <v>0</v>
      </c>
      <c r="J46" s="1202">
        <f>I46+88</f>
        <v>88</v>
      </c>
      <c r="K46" s="1202">
        <v>88</v>
      </c>
      <c r="L46" s="1307">
        <f t="shared" ref="L46:L48" si="104">K46/J46%</f>
        <v>100</v>
      </c>
      <c r="M46" s="1205">
        <v>0</v>
      </c>
      <c r="N46" s="1202">
        <v>0</v>
      </c>
      <c r="O46" s="1202">
        <f>N46+1215</f>
        <v>1215</v>
      </c>
      <c r="P46" s="1202">
        <v>1215</v>
      </c>
      <c r="Q46" s="1307">
        <f t="shared" ref="Q46:Q48" si="105">P46/O46%</f>
        <v>100</v>
      </c>
      <c r="R46" s="1206">
        <v>0</v>
      </c>
      <c r="S46" s="1201"/>
      <c r="T46" s="1202">
        <f>S46+1181</f>
        <v>1181</v>
      </c>
      <c r="U46" s="1202">
        <v>1181</v>
      </c>
      <c r="V46" s="1307">
        <f t="shared" ref="V46:V47" si="106">U46/T46%</f>
        <v>100</v>
      </c>
      <c r="W46" s="1205">
        <v>0</v>
      </c>
      <c r="X46" s="1202">
        <f t="shared" si="88"/>
        <v>0</v>
      </c>
      <c r="Y46" s="1202">
        <f>740</f>
        <v>740</v>
      </c>
      <c r="Z46" s="1202">
        <v>740</v>
      </c>
      <c r="AA46" s="1307">
        <f>Z46/Y46%</f>
        <v>100</v>
      </c>
      <c r="AB46" s="1207">
        <f t="shared" si="52"/>
        <v>884</v>
      </c>
      <c r="AC46" s="1201">
        <f t="shared" si="56"/>
        <v>0</v>
      </c>
      <c r="AD46" s="1202">
        <f t="shared" si="82"/>
        <v>4108</v>
      </c>
      <c r="AE46" s="1202">
        <f t="shared" si="12"/>
        <v>4108</v>
      </c>
      <c r="AF46" s="1307">
        <f t="shared" si="97"/>
        <v>100</v>
      </c>
    </row>
    <row r="47" spans="1:32" s="255" customFormat="1" ht="27" x14ac:dyDescent="0.35">
      <c r="A47" s="1655" t="s">
        <v>521</v>
      </c>
      <c r="B47" s="1420" t="s">
        <v>324</v>
      </c>
      <c r="C47" s="886">
        <f>C39+C40+C41+C46</f>
        <v>148941</v>
      </c>
      <c r="D47" s="1227">
        <f>D39+D40+D41+D46</f>
        <v>163647</v>
      </c>
      <c r="E47" s="1228">
        <f>E39+E40+E41+E46</f>
        <v>165671</v>
      </c>
      <c r="F47" s="1228">
        <f>F39+F40+F41+F46</f>
        <v>151589</v>
      </c>
      <c r="G47" s="1308">
        <f t="shared" si="103"/>
        <v>91.500021126207969</v>
      </c>
      <c r="H47" s="1229">
        <f t="shared" ref="H47" si="107">H39+H40+H41+H46</f>
        <v>164531</v>
      </c>
      <c r="I47" s="1227">
        <f t="shared" ref="I47:X47" si="108">I39+I40+I41+I46</f>
        <v>196997</v>
      </c>
      <c r="J47" s="1228">
        <f>J39+J40+J41+J46</f>
        <v>201143</v>
      </c>
      <c r="K47" s="1228">
        <f>K39+K40+K41+K46</f>
        <v>191763</v>
      </c>
      <c r="L47" s="1308">
        <f t="shared" si="104"/>
        <v>95.33665103931034</v>
      </c>
      <c r="M47" s="1230">
        <f t="shared" si="108"/>
        <v>81688</v>
      </c>
      <c r="N47" s="1228">
        <f t="shared" si="108"/>
        <v>92462</v>
      </c>
      <c r="O47" s="1228">
        <f>O39+O40+O41+O46</f>
        <v>99341</v>
      </c>
      <c r="P47" s="1228">
        <f>P39+P40+P41+P46</f>
        <v>95047</v>
      </c>
      <c r="Q47" s="1308">
        <f t="shared" si="105"/>
        <v>95.677514822681474</v>
      </c>
      <c r="R47" s="1231">
        <f t="shared" ref="R47" si="109">R39+R40+R41+R46</f>
        <v>92462</v>
      </c>
      <c r="S47" s="1227">
        <f t="shared" si="108"/>
        <v>37841</v>
      </c>
      <c r="T47" s="1228">
        <f>T39+T40+T41+T46</f>
        <v>38372</v>
      </c>
      <c r="U47" s="1228">
        <f>U39+U40+U41+U46</f>
        <v>33559</v>
      </c>
      <c r="V47" s="1308">
        <f t="shared" si="106"/>
        <v>87.45699989575732</v>
      </c>
      <c r="W47" s="1230">
        <f t="shared" si="108"/>
        <v>21346</v>
      </c>
      <c r="X47" s="1228">
        <f t="shared" si="108"/>
        <v>24913</v>
      </c>
      <c r="Y47" s="1228">
        <f>Y39+Y40+Y41+Y46</f>
        <v>29580</v>
      </c>
      <c r="Z47" s="1228">
        <f>Z39+Z40+Z41+Z46</f>
        <v>27954</v>
      </c>
      <c r="AA47" s="1308">
        <f>Z47/Y47%</f>
        <v>94.503042596348877</v>
      </c>
      <c r="AB47" s="1231">
        <f t="shared" si="52"/>
        <v>508968</v>
      </c>
      <c r="AC47" s="1227">
        <f t="shared" si="56"/>
        <v>515860</v>
      </c>
      <c r="AD47" s="1228">
        <f t="shared" si="82"/>
        <v>534107</v>
      </c>
      <c r="AE47" s="1228">
        <f t="shared" si="12"/>
        <v>499912</v>
      </c>
      <c r="AF47" s="1308">
        <f t="shared" si="97"/>
        <v>93.597724800461336</v>
      </c>
    </row>
    <row r="48" spans="1:32" s="255" customFormat="1" ht="27" x14ac:dyDescent="0.35">
      <c r="A48" s="1663" t="s">
        <v>303</v>
      </c>
      <c r="B48" s="1665" t="s">
        <v>751</v>
      </c>
      <c r="C48" s="895">
        <v>235</v>
      </c>
      <c r="D48" s="1201">
        <v>1153</v>
      </c>
      <c r="E48" s="1202">
        <f>D48-100+168+22</f>
        <v>1243</v>
      </c>
      <c r="F48" s="1202">
        <v>1242</v>
      </c>
      <c r="G48" s="1306">
        <f t="shared" si="103"/>
        <v>99.919549477071598</v>
      </c>
      <c r="H48" s="1204">
        <v>1155</v>
      </c>
      <c r="I48" s="1201">
        <v>338</v>
      </c>
      <c r="J48" s="1202">
        <f>I48</f>
        <v>338</v>
      </c>
      <c r="K48" s="1202">
        <v>306</v>
      </c>
      <c r="L48" s="1306">
        <f t="shared" si="104"/>
        <v>90.532544378698233</v>
      </c>
      <c r="M48" s="1205">
        <v>832</v>
      </c>
      <c r="N48" s="1202">
        <v>1099</v>
      </c>
      <c r="O48" s="1202">
        <f>N48+1500+948+132+194-148+1004+215+154</f>
        <v>5098</v>
      </c>
      <c r="P48" s="1202">
        <v>5098</v>
      </c>
      <c r="Q48" s="1306">
        <f t="shared" si="105"/>
        <v>100</v>
      </c>
      <c r="R48" s="1206">
        <v>1101</v>
      </c>
      <c r="S48" s="1201">
        <v>216</v>
      </c>
      <c r="T48" s="1202">
        <f>S48+17+198+154+321+170</f>
        <v>1076</v>
      </c>
      <c r="U48" s="1202">
        <v>1076</v>
      </c>
      <c r="V48" s="1306">
        <f t="shared" ref="V48" si="110">U48/T48%</f>
        <v>100</v>
      </c>
      <c r="W48" s="1205">
        <v>40</v>
      </c>
      <c r="X48" s="1202">
        <v>167</v>
      </c>
      <c r="Y48" s="1202">
        <f>X48</f>
        <v>167</v>
      </c>
      <c r="Z48" s="1202">
        <v>95</v>
      </c>
      <c r="AA48" s="1306">
        <f>Z48/Y48%</f>
        <v>56.886227544910184</v>
      </c>
      <c r="AB48" s="1207">
        <f t="shared" si="52"/>
        <v>3363</v>
      </c>
      <c r="AC48" s="1201">
        <f t="shared" si="56"/>
        <v>2973</v>
      </c>
      <c r="AD48" s="1202">
        <f t="shared" si="82"/>
        <v>7922</v>
      </c>
      <c r="AE48" s="1202">
        <f t="shared" si="12"/>
        <v>7817</v>
      </c>
      <c r="AF48" s="1306">
        <f>AE48/AD48%</f>
        <v>98.67457712698814</v>
      </c>
    </row>
    <row r="49" spans="1:32" s="255" customFormat="1" ht="27" x14ac:dyDescent="0.35">
      <c r="A49" s="1663" t="s">
        <v>304</v>
      </c>
      <c r="B49" s="1417" t="s">
        <v>305</v>
      </c>
      <c r="C49" s="895">
        <v>0</v>
      </c>
      <c r="D49" s="1201">
        <f t="shared" si="84"/>
        <v>0</v>
      </c>
      <c r="E49" s="1202">
        <f t="shared" ref="E49:E50" si="111">D49</f>
        <v>0</v>
      </c>
      <c r="F49" s="1202">
        <v>0</v>
      </c>
      <c r="G49" s="1203"/>
      <c r="H49" s="1204">
        <f t="shared" ref="H49:H50" si="112">E49</f>
        <v>0</v>
      </c>
      <c r="I49" s="1201">
        <f t="shared" si="100"/>
        <v>0</v>
      </c>
      <c r="J49" s="1202">
        <f t="shared" si="100"/>
        <v>0</v>
      </c>
      <c r="K49" s="1202">
        <v>0</v>
      </c>
      <c r="L49" s="1203"/>
      <c r="M49" s="1205">
        <v>0</v>
      </c>
      <c r="N49" s="1202">
        <f t="shared" ref="N49:O50" si="113">M49</f>
        <v>0</v>
      </c>
      <c r="O49" s="1202">
        <f t="shared" si="113"/>
        <v>0</v>
      </c>
      <c r="P49" s="1202">
        <v>0</v>
      </c>
      <c r="Q49" s="1203"/>
      <c r="R49" s="1206">
        <f t="shared" ref="R49:R50" si="114">O49</f>
        <v>0</v>
      </c>
      <c r="S49" s="1201">
        <f t="shared" ref="S49:T50" si="115">R49</f>
        <v>0</v>
      </c>
      <c r="T49" s="1202">
        <f t="shared" si="115"/>
        <v>0</v>
      </c>
      <c r="U49" s="1202">
        <v>0</v>
      </c>
      <c r="V49" s="1203"/>
      <c r="W49" s="1205">
        <v>0</v>
      </c>
      <c r="X49" s="1202">
        <f t="shared" ref="X49:Y50" si="116">W49</f>
        <v>0</v>
      </c>
      <c r="Y49" s="1202">
        <f t="shared" si="116"/>
        <v>0</v>
      </c>
      <c r="Z49" s="1202">
        <v>0</v>
      </c>
      <c r="AA49" s="1202"/>
      <c r="AB49" s="1207">
        <f t="shared" si="52"/>
        <v>0</v>
      </c>
      <c r="AC49" s="1201">
        <f t="shared" si="56"/>
        <v>0</v>
      </c>
      <c r="AD49" s="1202">
        <f t="shared" si="82"/>
        <v>0</v>
      </c>
      <c r="AE49" s="1202">
        <f t="shared" si="12"/>
        <v>0</v>
      </c>
      <c r="AF49" s="1203"/>
    </row>
    <row r="50" spans="1:32" s="255" customFormat="1" ht="27" x14ac:dyDescent="0.35">
      <c r="A50" s="1663" t="s">
        <v>308</v>
      </c>
      <c r="B50" s="1417" t="s">
        <v>309</v>
      </c>
      <c r="C50" s="895">
        <v>0</v>
      </c>
      <c r="D50" s="1201">
        <f t="shared" si="84"/>
        <v>0</v>
      </c>
      <c r="E50" s="1202">
        <f t="shared" si="111"/>
        <v>0</v>
      </c>
      <c r="F50" s="1202">
        <v>0</v>
      </c>
      <c r="G50" s="1203"/>
      <c r="H50" s="1204">
        <f t="shared" si="112"/>
        <v>0</v>
      </c>
      <c r="I50" s="1201">
        <f t="shared" si="100"/>
        <v>0</v>
      </c>
      <c r="J50" s="1202">
        <f t="shared" si="100"/>
        <v>0</v>
      </c>
      <c r="K50" s="1202">
        <v>0</v>
      </c>
      <c r="L50" s="1203"/>
      <c r="M50" s="1205">
        <v>0</v>
      </c>
      <c r="N50" s="1202">
        <f t="shared" si="113"/>
        <v>0</v>
      </c>
      <c r="O50" s="1202">
        <f t="shared" si="113"/>
        <v>0</v>
      </c>
      <c r="P50" s="1202">
        <v>0</v>
      </c>
      <c r="Q50" s="1203"/>
      <c r="R50" s="1206">
        <f t="shared" si="114"/>
        <v>0</v>
      </c>
      <c r="S50" s="1201">
        <f t="shared" si="115"/>
        <v>0</v>
      </c>
      <c r="T50" s="1202">
        <f t="shared" si="115"/>
        <v>0</v>
      </c>
      <c r="U50" s="1202">
        <v>0</v>
      </c>
      <c r="V50" s="1203"/>
      <c r="W50" s="1205">
        <v>0</v>
      </c>
      <c r="X50" s="1202">
        <f t="shared" si="116"/>
        <v>0</v>
      </c>
      <c r="Y50" s="1202">
        <f t="shared" si="116"/>
        <v>0</v>
      </c>
      <c r="Z50" s="1202">
        <v>0</v>
      </c>
      <c r="AA50" s="1202"/>
      <c r="AB50" s="1207">
        <f t="shared" si="52"/>
        <v>0</v>
      </c>
      <c r="AC50" s="1201">
        <f t="shared" si="56"/>
        <v>0</v>
      </c>
      <c r="AD50" s="1202">
        <f t="shared" si="82"/>
        <v>0</v>
      </c>
      <c r="AE50" s="1202">
        <f t="shared" si="12"/>
        <v>0</v>
      </c>
      <c r="AF50" s="1203"/>
    </row>
    <row r="51" spans="1:32" ht="27" x14ac:dyDescent="0.35">
      <c r="A51" s="1655" t="s">
        <v>522</v>
      </c>
      <c r="B51" s="1420" t="s">
        <v>325</v>
      </c>
      <c r="C51" s="886">
        <f>SUM(C48:C50)</f>
        <v>235</v>
      </c>
      <c r="D51" s="1227">
        <f>SUM(D48:D50)</f>
        <v>1153</v>
      </c>
      <c r="E51" s="1228">
        <f>SUM(E48:E50)</f>
        <v>1243</v>
      </c>
      <c r="F51" s="1228">
        <f>SUM(F48:F50)</f>
        <v>1242</v>
      </c>
      <c r="G51" s="1308">
        <f t="shared" ref="G51:G52" si="117">F51/E51%</f>
        <v>99.919549477071598</v>
      </c>
      <c r="H51" s="1229">
        <f t="shared" ref="H51" si="118">SUM(H48:H50)</f>
        <v>1155</v>
      </c>
      <c r="I51" s="1227">
        <f t="shared" ref="I51" si="119">SUM(I48:I50)</f>
        <v>338</v>
      </c>
      <c r="J51" s="1228">
        <f>SUM(J48:J50)</f>
        <v>338</v>
      </c>
      <c r="K51" s="1228">
        <f>SUM(K48:K50)</f>
        <v>306</v>
      </c>
      <c r="L51" s="1308">
        <f t="shared" ref="L51:L52" si="120">K51/J51%</f>
        <v>90.532544378698233</v>
      </c>
      <c r="M51" s="1230">
        <f t="shared" ref="M51:W51" si="121">SUM(M48:M50)</f>
        <v>832</v>
      </c>
      <c r="N51" s="1228">
        <f t="shared" ref="N51:R51" si="122">SUM(N48:N50)</f>
        <v>1099</v>
      </c>
      <c r="O51" s="1228">
        <f>SUM(O48:O50)</f>
        <v>5098</v>
      </c>
      <c r="P51" s="1228">
        <f>SUM(P48:P50)</f>
        <v>5098</v>
      </c>
      <c r="Q51" s="1308">
        <f t="shared" ref="Q51:Q52" si="123">P51/O51%</f>
        <v>100</v>
      </c>
      <c r="R51" s="1231">
        <f t="shared" si="122"/>
        <v>1101</v>
      </c>
      <c r="S51" s="1227">
        <f t="shared" ref="S51" si="124">SUM(S48:S50)</f>
        <v>216</v>
      </c>
      <c r="T51" s="1228">
        <f>SUM(T48:T50)</f>
        <v>1076</v>
      </c>
      <c r="U51" s="1228">
        <f>SUM(U48:U50)</f>
        <v>1076</v>
      </c>
      <c r="V51" s="1308">
        <f>U51/T51%</f>
        <v>100</v>
      </c>
      <c r="W51" s="1230">
        <f t="shared" si="121"/>
        <v>40</v>
      </c>
      <c r="X51" s="1228">
        <f t="shared" ref="X51" si="125">SUM(X48:X50)</f>
        <v>167</v>
      </c>
      <c r="Y51" s="1228">
        <f>SUM(Y48:Y50)</f>
        <v>167</v>
      </c>
      <c r="Z51" s="1228">
        <f>SUM(Z48:Z50)</f>
        <v>95</v>
      </c>
      <c r="AA51" s="1308">
        <f>Z51/Y51%</f>
        <v>56.886227544910184</v>
      </c>
      <c r="AB51" s="1231">
        <f t="shared" si="52"/>
        <v>3363</v>
      </c>
      <c r="AC51" s="1227">
        <f t="shared" si="56"/>
        <v>2973</v>
      </c>
      <c r="AD51" s="1228">
        <f t="shared" si="82"/>
        <v>7922</v>
      </c>
      <c r="AE51" s="1228">
        <f t="shared" si="12"/>
        <v>7817</v>
      </c>
      <c r="AF51" s="1308">
        <f>AE51/AD51%</f>
        <v>98.67457712698814</v>
      </c>
    </row>
    <row r="52" spans="1:32" ht="27.75" thickBot="1" x14ac:dyDescent="0.4">
      <c r="A52" s="1666" t="s">
        <v>310</v>
      </c>
      <c r="B52" s="1667" t="s">
        <v>524</v>
      </c>
      <c r="C52" s="906">
        <f>C47+C51</f>
        <v>149176</v>
      </c>
      <c r="D52" s="1255">
        <f>D47+D51</f>
        <v>164800</v>
      </c>
      <c r="E52" s="1256">
        <f>E47+E51</f>
        <v>166914</v>
      </c>
      <c r="F52" s="1256">
        <f>F47+F51</f>
        <v>152831</v>
      </c>
      <c r="G52" s="1310">
        <f t="shared" si="117"/>
        <v>91.562720922151527</v>
      </c>
      <c r="H52" s="1257">
        <f t="shared" ref="H52" si="126">H47+H51</f>
        <v>165686</v>
      </c>
      <c r="I52" s="1255">
        <f t="shared" ref="I52" si="127">I47+I51</f>
        <v>197335</v>
      </c>
      <c r="J52" s="1256">
        <f>J47+J51</f>
        <v>201481</v>
      </c>
      <c r="K52" s="1256">
        <f>K47+K51</f>
        <v>192069</v>
      </c>
      <c r="L52" s="1310">
        <f t="shared" si="120"/>
        <v>95.328591777884768</v>
      </c>
      <c r="M52" s="1258">
        <f t="shared" ref="M52:W52" si="128">M47+M51</f>
        <v>82520</v>
      </c>
      <c r="N52" s="1256">
        <f t="shared" ref="N52:R52" si="129">N47+N51</f>
        <v>93561</v>
      </c>
      <c r="O52" s="1256">
        <f>O47+O51</f>
        <v>104439</v>
      </c>
      <c r="P52" s="1256">
        <f>P47+P51</f>
        <v>100145</v>
      </c>
      <c r="Q52" s="1310">
        <f t="shared" si="123"/>
        <v>95.888509081856384</v>
      </c>
      <c r="R52" s="1259">
        <f t="shared" si="129"/>
        <v>93563</v>
      </c>
      <c r="S52" s="1255">
        <f t="shared" ref="S52" si="130">S47+S51</f>
        <v>38057</v>
      </c>
      <c r="T52" s="1256">
        <f>T47+T51</f>
        <v>39448</v>
      </c>
      <c r="U52" s="1256">
        <f>U47+U51</f>
        <v>34635</v>
      </c>
      <c r="V52" s="1310">
        <f>U52/T52%</f>
        <v>87.799127965929827</v>
      </c>
      <c r="W52" s="1258">
        <f t="shared" si="128"/>
        <v>21386</v>
      </c>
      <c r="X52" s="1256">
        <f t="shared" ref="X52" si="131">X47+X51</f>
        <v>25080</v>
      </c>
      <c r="Y52" s="1256">
        <f>Y47+Y51</f>
        <v>29747</v>
      </c>
      <c r="Z52" s="1256">
        <f>Z47+Z51</f>
        <v>28049</v>
      </c>
      <c r="AA52" s="1310">
        <f>Z52/Y52%</f>
        <v>94.291861364171169</v>
      </c>
      <c r="AB52" s="1259">
        <f t="shared" si="52"/>
        <v>512331</v>
      </c>
      <c r="AC52" s="1255">
        <f t="shared" si="56"/>
        <v>518833</v>
      </c>
      <c r="AD52" s="1256">
        <f t="shared" si="82"/>
        <v>542029</v>
      </c>
      <c r="AE52" s="1256">
        <f t="shared" si="12"/>
        <v>507729</v>
      </c>
      <c r="AF52" s="1310">
        <f>AE52/AD52%</f>
        <v>93.671925302889704</v>
      </c>
    </row>
  </sheetData>
  <mergeCells count="9">
    <mergeCell ref="X8:AA8"/>
    <mergeCell ref="AC8:AF8"/>
    <mergeCell ref="A1:AF1"/>
    <mergeCell ref="A3:AF3"/>
    <mergeCell ref="A5:AF5"/>
    <mergeCell ref="D8:G8"/>
    <mergeCell ref="I8:L8"/>
    <mergeCell ref="N8:Q8"/>
    <mergeCell ref="S8:V8"/>
  </mergeCells>
  <phoneticPr fontId="62" type="noConversion"/>
  <printOptions horizontalCentered="1"/>
  <pageMargins left="0.15748031496062992" right="0.23622047244094491" top="0.27559055118110237" bottom="0.35433070866141736" header="0.31496062992125984" footer="0.31496062992125984"/>
  <pageSetup paperSize="8" scale="39" fitToHeight="0" orientation="landscape"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76"/>
  <sheetViews>
    <sheetView view="pageBreakPreview" topLeftCell="I1" zoomScale="70" zoomScaleNormal="85" zoomScaleSheetLayoutView="70" workbookViewId="0">
      <selection activeCell="A2" sqref="A2:O2"/>
    </sheetView>
  </sheetViews>
  <sheetFormatPr defaultRowHeight="15" customHeight="1" x14ac:dyDescent="0.3"/>
  <cols>
    <col min="1" max="1" width="13.42578125" style="855" bestFit="1" customWidth="1"/>
    <col min="2" max="2" width="85.7109375" style="855" customWidth="1"/>
    <col min="3" max="3" width="17.42578125" style="855" customWidth="1"/>
    <col min="4" max="4" width="19" style="855" customWidth="1"/>
    <col min="5" max="5" width="16.42578125" style="855" bestFit="1" customWidth="1"/>
    <col min="6" max="6" width="12" style="855" bestFit="1" customWidth="1"/>
    <col min="7" max="7" width="16.7109375" style="855" customWidth="1"/>
    <col min="8" max="8" width="18.7109375" style="855" customWidth="1"/>
    <col min="9" max="9" width="18.85546875" style="855" customWidth="1"/>
    <col min="10" max="10" width="13.140625" style="855" bestFit="1" customWidth="1"/>
    <col min="11" max="11" width="18.28515625" style="855" customWidth="1"/>
    <col min="12" max="12" width="19.5703125" style="855" customWidth="1"/>
    <col min="13" max="13" width="18.140625" style="855" customWidth="1"/>
    <col min="14" max="14" width="15.5703125" style="855" bestFit="1" customWidth="1"/>
    <col min="15" max="16384" width="9.140625" style="855"/>
  </cols>
  <sheetData>
    <row r="1" spans="1:14" ht="23.25" x14ac:dyDescent="0.35">
      <c r="A1" s="2417" t="str">
        <f>'3. Gesz költségvetés'!A1:AB1</f>
        <v>Pilisvörösvár Város Önkormányzata Képviselő-testületének 7/2018. (IV. 27.) önkormányzati rendelete</v>
      </c>
      <c r="B1" s="2417"/>
      <c r="C1" s="2417"/>
      <c r="D1" s="2417"/>
      <c r="E1" s="2417"/>
      <c r="F1" s="2417"/>
      <c r="G1" s="2417"/>
      <c r="H1" s="2417"/>
      <c r="I1" s="2417"/>
      <c r="J1" s="2417"/>
      <c r="K1" s="2417"/>
      <c r="L1" s="2418"/>
      <c r="M1" s="2418"/>
      <c r="N1" s="2418"/>
    </row>
    <row r="2" spans="1:14" ht="23.25" x14ac:dyDescent="0.35">
      <c r="A2" s="2417" t="str">
        <f>'3. Gesz költségvetés'!A3:AB3</f>
        <v>az Önkormányzat  2017. évi zárszámadásáról</v>
      </c>
      <c r="B2" s="2417"/>
      <c r="C2" s="2417"/>
      <c r="D2" s="2417"/>
      <c r="E2" s="2417"/>
      <c r="F2" s="2417"/>
      <c r="G2" s="2417"/>
      <c r="H2" s="2417"/>
      <c r="I2" s="2417"/>
      <c r="J2" s="2417"/>
      <c r="K2" s="2417"/>
      <c r="L2" s="2418"/>
      <c r="M2" s="2418"/>
      <c r="N2" s="2418"/>
    </row>
    <row r="3" spans="1:14" ht="24" customHeight="1" x14ac:dyDescent="0.35">
      <c r="A3" s="2417" t="str">
        <f>Tartalomjegyzék_2017!B11</f>
        <v>Pilisvörösvár Város Önkormányzat költségvetése kötelező és önként vállalt feladat szerinti bontásban</v>
      </c>
      <c r="B3" s="2417"/>
      <c r="C3" s="2417"/>
      <c r="D3" s="2417"/>
      <c r="E3" s="2417"/>
      <c r="F3" s="2417"/>
      <c r="G3" s="2417"/>
      <c r="H3" s="2417"/>
      <c r="I3" s="2417"/>
      <c r="J3" s="2417"/>
      <c r="K3" s="2417"/>
      <c r="L3" s="2418"/>
      <c r="M3" s="2418"/>
      <c r="N3" s="2418"/>
    </row>
    <row r="4" spans="1:14" ht="15" customHeight="1" x14ac:dyDescent="0.35">
      <c r="A4" s="1341"/>
      <c r="B4" s="1341"/>
      <c r="C4" s="1341"/>
      <c r="D4" s="1341"/>
      <c r="E4" s="1341"/>
      <c r="F4" s="1341"/>
      <c r="G4" s="1341"/>
      <c r="H4" s="1341"/>
      <c r="I4" s="1341"/>
      <c r="J4" s="1341"/>
      <c r="K4" s="1341"/>
      <c r="L4" s="1342"/>
      <c r="M4" s="1342"/>
      <c r="N4" s="1342" t="s">
        <v>13</v>
      </c>
    </row>
    <row r="5" spans="1:14" ht="24" thickBot="1" x14ac:dyDescent="0.4">
      <c r="A5" s="1341"/>
      <c r="B5" s="1341"/>
      <c r="C5" s="1341"/>
      <c r="D5" s="1341"/>
      <c r="E5" s="1341"/>
      <c r="F5" s="1341"/>
      <c r="G5" s="1341"/>
      <c r="H5" s="1341"/>
      <c r="I5" s="1341"/>
      <c r="J5" s="1341"/>
      <c r="K5" s="1341"/>
      <c r="L5" s="1342"/>
      <c r="M5" s="1342"/>
      <c r="N5" s="1343" t="s">
        <v>323</v>
      </c>
    </row>
    <row r="6" spans="1:14" ht="23.25" customHeight="1" x14ac:dyDescent="0.35">
      <c r="A6" s="2419" t="s">
        <v>364</v>
      </c>
      <c r="B6" s="2421" t="s">
        <v>799</v>
      </c>
      <c r="C6" s="2423" t="s">
        <v>152</v>
      </c>
      <c r="D6" s="2428"/>
      <c r="E6" s="2428"/>
      <c r="F6" s="2429"/>
      <c r="G6" s="2426" t="s">
        <v>1107</v>
      </c>
      <c r="H6" s="2428"/>
      <c r="I6" s="2428"/>
      <c r="J6" s="2430"/>
      <c r="K6" s="2423" t="s">
        <v>444</v>
      </c>
      <c r="L6" s="2428"/>
      <c r="M6" s="2428"/>
      <c r="N6" s="2429"/>
    </row>
    <row r="7" spans="1:14" ht="121.5" x14ac:dyDescent="0.3">
      <c r="A7" s="2431"/>
      <c r="B7" s="2432" t="s">
        <v>799</v>
      </c>
      <c r="C7" s="1317" t="s">
        <v>1101</v>
      </c>
      <c r="D7" s="1318" t="s">
        <v>1102</v>
      </c>
      <c r="E7" s="1318" t="s">
        <v>1103</v>
      </c>
      <c r="F7" s="1319" t="s">
        <v>1084</v>
      </c>
      <c r="G7" s="1320" t="s">
        <v>1104</v>
      </c>
      <c r="H7" s="1318" t="s">
        <v>1105</v>
      </c>
      <c r="I7" s="1318" t="s">
        <v>1106</v>
      </c>
      <c r="J7" s="1321" t="s">
        <v>1084</v>
      </c>
      <c r="K7" s="1322" t="s">
        <v>1007</v>
      </c>
      <c r="L7" s="1318" t="s">
        <v>1069</v>
      </c>
      <c r="M7" s="1318" t="s">
        <v>1108</v>
      </c>
      <c r="N7" s="1319" t="s">
        <v>1084</v>
      </c>
    </row>
    <row r="8" spans="1:14" ht="23.25" x14ac:dyDescent="0.35">
      <c r="A8" s="1323" t="s">
        <v>374</v>
      </c>
      <c r="B8" s="1344" t="s">
        <v>373</v>
      </c>
      <c r="C8" s="1357">
        <f>'2.Bevételek_részletes'!D8</f>
        <v>604691.75923127495</v>
      </c>
      <c r="D8" s="1358">
        <f>'2.Bevételek_részletes'!E8</f>
        <v>643772.75923127495</v>
      </c>
      <c r="E8" s="1358">
        <f>'2.Bevételek_részletes'!F8</f>
        <v>652379</v>
      </c>
      <c r="F8" s="1359">
        <f>E8/D8%</f>
        <v>101.3368445069036</v>
      </c>
      <c r="G8" s="1360"/>
      <c r="H8" s="1358"/>
      <c r="I8" s="1358"/>
      <c r="J8" s="1361"/>
      <c r="K8" s="1357">
        <f>C8+G8</f>
        <v>604691.75923127495</v>
      </c>
      <c r="L8" s="1358">
        <f>D8+H8</f>
        <v>643772.75923127495</v>
      </c>
      <c r="M8" s="1358">
        <f>E8+I8</f>
        <v>652379</v>
      </c>
      <c r="N8" s="1359">
        <f>M8/L8%</f>
        <v>101.3368445069036</v>
      </c>
    </row>
    <row r="9" spans="1:14" ht="46.5" x14ac:dyDescent="0.35">
      <c r="A9" s="1323" t="s">
        <v>376</v>
      </c>
      <c r="B9" s="1344" t="s">
        <v>375</v>
      </c>
      <c r="C9" s="1357">
        <f>'2.Bevételek_részletes'!D9</f>
        <v>13205.942675</v>
      </c>
      <c r="D9" s="1358">
        <f>'2.Bevételek_részletes'!E9</f>
        <v>32245.942674999998</v>
      </c>
      <c r="E9" s="1358">
        <f>'2.Bevételek_részletes'!F9</f>
        <v>29954</v>
      </c>
      <c r="F9" s="1359">
        <f t="shared" ref="F9:F32" si="0">E9/D9%</f>
        <v>92.892306799339067</v>
      </c>
      <c r="G9" s="1360"/>
      <c r="H9" s="1358"/>
      <c r="I9" s="1358"/>
      <c r="J9" s="1361"/>
      <c r="K9" s="1357">
        <f t="shared" ref="K9:K43" si="1">C9+G9</f>
        <v>13205.942675</v>
      </c>
      <c r="L9" s="1358">
        <f t="shared" ref="L9:L43" si="2">D9+H9</f>
        <v>32245.942674999998</v>
      </c>
      <c r="M9" s="1358">
        <f t="shared" ref="M9:M43" si="3">E9+I9</f>
        <v>29954</v>
      </c>
      <c r="N9" s="1359">
        <f>M9/L9%</f>
        <v>92.892306799339067</v>
      </c>
    </row>
    <row r="10" spans="1:14" s="1325" customFormat="1" ht="22.5" x14ac:dyDescent="0.3">
      <c r="A10" s="1324" t="s">
        <v>378</v>
      </c>
      <c r="B10" s="1345" t="s">
        <v>377</v>
      </c>
      <c r="C10" s="1362">
        <f>SUM(C8:C9)</f>
        <v>617897.701906275</v>
      </c>
      <c r="D10" s="1363">
        <f>SUM(D8:D9)</f>
        <v>676018.701906275</v>
      </c>
      <c r="E10" s="1363">
        <f>SUM(E8:E9)</f>
        <v>682333</v>
      </c>
      <c r="F10" s="1364">
        <f t="shared" si="0"/>
        <v>100.93404192456801</v>
      </c>
      <c r="G10" s="1365">
        <f t="shared" ref="G10" si="4">SUM(G8:G9)</f>
        <v>0</v>
      </c>
      <c r="H10" s="1363">
        <f t="shared" ref="H10:I10" si="5">SUM(H8:H9)</f>
        <v>0</v>
      </c>
      <c r="I10" s="1363">
        <f t="shared" si="5"/>
        <v>0</v>
      </c>
      <c r="J10" s="1366"/>
      <c r="K10" s="1362">
        <f t="shared" si="1"/>
        <v>617897.701906275</v>
      </c>
      <c r="L10" s="1363">
        <f t="shared" si="2"/>
        <v>676018.701906275</v>
      </c>
      <c r="M10" s="1363">
        <f t="shared" si="3"/>
        <v>682333</v>
      </c>
      <c r="N10" s="1364">
        <f t="shared" ref="N10:N32" si="6">M10/L10%</f>
        <v>100.93404192456801</v>
      </c>
    </row>
    <row r="11" spans="1:14" s="1325" customFormat="1" ht="45" x14ac:dyDescent="0.3">
      <c r="A11" s="1324" t="s">
        <v>382</v>
      </c>
      <c r="B11" s="1345" t="s">
        <v>381</v>
      </c>
      <c r="C11" s="1362">
        <f>'2.Bevételek_részletes'!D13</f>
        <v>0</v>
      </c>
      <c r="D11" s="1363">
        <f>'2.Bevételek_részletes'!E13</f>
        <v>121777</v>
      </c>
      <c r="E11" s="1363">
        <f>'2.Bevételek_részletes'!F13</f>
        <v>121777</v>
      </c>
      <c r="F11" s="1364">
        <f t="shared" si="0"/>
        <v>100</v>
      </c>
      <c r="G11" s="1365">
        <v>0</v>
      </c>
      <c r="H11" s="1363">
        <v>0</v>
      </c>
      <c r="I11" s="1363">
        <v>0</v>
      </c>
      <c r="J11" s="1366"/>
      <c r="K11" s="1362">
        <f t="shared" si="1"/>
        <v>0</v>
      </c>
      <c r="L11" s="1363">
        <f t="shared" si="2"/>
        <v>121777</v>
      </c>
      <c r="M11" s="1363">
        <f t="shared" si="3"/>
        <v>121777</v>
      </c>
      <c r="N11" s="1364">
        <f t="shared" si="6"/>
        <v>100</v>
      </c>
    </row>
    <row r="12" spans="1:14" s="1325" customFormat="1" ht="23.25" x14ac:dyDescent="0.35">
      <c r="A12" s="1326" t="s">
        <v>146</v>
      </c>
      <c r="B12" s="1346" t="s">
        <v>157</v>
      </c>
      <c r="C12" s="1357">
        <f>'2.Bevételek_részletes'!D14</f>
        <v>86000</v>
      </c>
      <c r="D12" s="1358">
        <f>'2.Bevételek_részletes'!E14</f>
        <v>86000</v>
      </c>
      <c r="E12" s="1358">
        <f>'2.Bevételek_részletes'!F14</f>
        <v>85049</v>
      </c>
      <c r="F12" s="1359">
        <f t="shared" si="0"/>
        <v>98.894186046511635</v>
      </c>
      <c r="G12" s="1360"/>
      <c r="H12" s="1358"/>
      <c r="I12" s="1358"/>
      <c r="J12" s="1361"/>
      <c r="K12" s="1357">
        <f t="shared" si="1"/>
        <v>86000</v>
      </c>
      <c r="L12" s="1358">
        <f t="shared" si="2"/>
        <v>86000</v>
      </c>
      <c r="M12" s="1358">
        <f t="shared" si="3"/>
        <v>85049</v>
      </c>
      <c r="N12" s="1359">
        <f t="shared" si="6"/>
        <v>98.894186046511635</v>
      </c>
    </row>
    <row r="13" spans="1:14" ht="46.5" x14ac:dyDescent="0.35">
      <c r="A13" s="1323" t="s">
        <v>103</v>
      </c>
      <c r="B13" s="1344" t="s">
        <v>156</v>
      </c>
      <c r="C13" s="1357">
        <f>'2.Bevételek_részletes'!D15</f>
        <v>540500</v>
      </c>
      <c r="D13" s="1358">
        <f>'2.Bevételek_részletes'!E15</f>
        <v>540400</v>
      </c>
      <c r="E13" s="1358">
        <f>'2.Bevételek_részletes'!F15</f>
        <v>606459</v>
      </c>
      <c r="F13" s="1359">
        <f t="shared" si="0"/>
        <v>112.22409326424871</v>
      </c>
      <c r="G13" s="1360"/>
      <c r="H13" s="1358"/>
      <c r="I13" s="1358"/>
      <c r="J13" s="1361"/>
      <c r="K13" s="1357">
        <f t="shared" si="1"/>
        <v>540500</v>
      </c>
      <c r="L13" s="1358">
        <f t="shared" si="2"/>
        <v>540400</v>
      </c>
      <c r="M13" s="1358">
        <f t="shared" si="3"/>
        <v>606459</v>
      </c>
      <c r="N13" s="1359">
        <f t="shared" si="6"/>
        <v>112.22409326424871</v>
      </c>
    </row>
    <row r="14" spans="1:14" ht="23.25" x14ac:dyDescent="0.35">
      <c r="A14" s="1323" t="s">
        <v>385</v>
      </c>
      <c r="B14" s="1344" t="s">
        <v>153</v>
      </c>
      <c r="C14" s="1357">
        <f>'2.Bevételek_részletes'!D16</f>
        <v>5000</v>
      </c>
      <c r="D14" s="1358">
        <f>'2.Bevételek_részletes'!E16</f>
        <v>5100</v>
      </c>
      <c r="E14" s="1358">
        <f>'2.Bevételek_részletes'!F16</f>
        <v>3534</v>
      </c>
      <c r="F14" s="1359">
        <f t="shared" si="0"/>
        <v>69.294117647058826</v>
      </c>
      <c r="G14" s="1360"/>
      <c r="H14" s="1358"/>
      <c r="I14" s="1358"/>
      <c r="J14" s="1361"/>
      <c r="K14" s="1357">
        <f t="shared" si="1"/>
        <v>5000</v>
      </c>
      <c r="L14" s="1358">
        <f t="shared" si="2"/>
        <v>5100</v>
      </c>
      <c r="M14" s="1358">
        <f t="shared" si="3"/>
        <v>3534</v>
      </c>
      <c r="N14" s="1359">
        <f t="shared" si="6"/>
        <v>69.294117647058826</v>
      </c>
    </row>
    <row r="15" spans="1:14" s="1325" customFormat="1" ht="22.5" x14ac:dyDescent="0.3">
      <c r="A15" s="1324" t="s">
        <v>387</v>
      </c>
      <c r="B15" s="1345" t="s">
        <v>386</v>
      </c>
      <c r="C15" s="1362">
        <f>SUM(C12:C14)</f>
        <v>631500</v>
      </c>
      <c r="D15" s="1363">
        <f>SUM(D12:D14)</f>
        <v>631500</v>
      </c>
      <c r="E15" s="1363">
        <f>SUM(E12:E14)</f>
        <v>695042</v>
      </c>
      <c r="F15" s="1364">
        <f t="shared" si="0"/>
        <v>110.06207442596991</v>
      </c>
      <c r="G15" s="1365">
        <f t="shared" ref="G15" si="7">SUM(G12:G14)</f>
        <v>0</v>
      </c>
      <c r="H15" s="1363">
        <f t="shared" ref="H15:I15" si="8">SUM(H12:H14)</f>
        <v>0</v>
      </c>
      <c r="I15" s="1363">
        <f t="shared" si="8"/>
        <v>0</v>
      </c>
      <c r="J15" s="1366"/>
      <c r="K15" s="1362">
        <f t="shared" si="1"/>
        <v>631500</v>
      </c>
      <c r="L15" s="1363">
        <f t="shared" si="2"/>
        <v>631500</v>
      </c>
      <c r="M15" s="1363">
        <f t="shared" si="3"/>
        <v>695042</v>
      </c>
      <c r="N15" s="1364">
        <f t="shared" si="6"/>
        <v>110.06207442596991</v>
      </c>
    </row>
    <row r="16" spans="1:14" s="1325" customFormat="1" ht="23.25" x14ac:dyDescent="0.35">
      <c r="A16" s="1323" t="s">
        <v>114</v>
      </c>
      <c r="B16" s="1347" t="s">
        <v>388</v>
      </c>
      <c r="C16" s="1357">
        <f>'2.Bevételek_részletes'!D18</f>
        <v>3171.9520000000002</v>
      </c>
      <c r="D16" s="1358">
        <f>'2.Bevételek_részletes'!E18</f>
        <v>2962.9520000000002</v>
      </c>
      <c r="E16" s="1358">
        <f>'2.Bevételek_részletes'!F18</f>
        <v>2778.1</v>
      </c>
      <c r="F16" s="1359">
        <f t="shared" si="0"/>
        <v>93.76122191652108</v>
      </c>
      <c r="G16" s="1360"/>
      <c r="H16" s="1358"/>
      <c r="I16" s="1358"/>
      <c r="J16" s="1361"/>
      <c r="K16" s="1357">
        <f t="shared" si="1"/>
        <v>3171.9520000000002</v>
      </c>
      <c r="L16" s="1358">
        <f t="shared" si="2"/>
        <v>2962.9520000000002</v>
      </c>
      <c r="M16" s="1358">
        <f t="shared" si="3"/>
        <v>2778.1</v>
      </c>
      <c r="N16" s="1359">
        <f t="shared" si="6"/>
        <v>93.76122191652108</v>
      </c>
    </row>
    <row r="17" spans="1:14" s="1325" customFormat="1" ht="23.25" x14ac:dyDescent="0.35">
      <c r="A17" s="1323" t="s">
        <v>113</v>
      </c>
      <c r="B17" s="1344" t="s">
        <v>116</v>
      </c>
      <c r="C17" s="1357">
        <f>'2.Bevételek_részletes'!D19</f>
        <v>49721.802360000001</v>
      </c>
      <c r="D17" s="1358">
        <f>'2.Bevételek_részletes'!E19</f>
        <v>48930.802360000001</v>
      </c>
      <c r="E17" s="1358">
        <f>'2.Bevételek_részletes'!F19</f>
        <v>50906</v>
      </c>
      <c r="F17" s="1359">
        <f t="shared" si="0"/>
        <v>104.03671622931465</v>
      </c>
      <c r="G17" s="1360"/>
      <c r="H17" s="1358"/>
      <c r="I17" s="1358"/>
      <c r="J17" s="1361"/>
      <c r="K17" s="1357">
        <f t="shared" si="1"/>
        <v>49721.802360000001</v>
      </c>
      <c r="L17" s="1358">
        <f t="shared" si="2"/>
        <v>48930.802360000001</v>
      </c>
      <c r="M17" s="1358">
        <f t="shared" si="3"/>
        <v>50906</v>
      </c>
      <c r="N17" s="1359">
        <f t="shared" si="6"/>
        <v>104.03671622931465</v>
      </c>
    </row>
    <row r="18" spans="1:14" s="1325" customFormat="1" ht="46.5" x14ac:dyDescent="0.35">
      <c r="A18" s="1323" t="s">
        <v>112</v>
      </c>
      <c r="B18" s="1344" t="s">
        <v>107</v>
      </c>
      <c r="C18" s="1357">
        <f>'2.Bevételek_részletes'!D20</f>
        <v>7530</v>
      </c>
      <c r="D18" s="1358">
        <f>'2.Bevételek_részletes'!E20</f>
        <v>13904</v>
      </c>
      <c r="E18" s="1358">
        <f>'2.Bevételek_részletes'!F20</f>
        <v>16062</v>
      </c>
      <c r="F18" s="1359">
        <f t="shared" si="0"/>
        <v>115.52071346375145</v>
      </c>
      <c r="G18" s="1360"/>
      <c r="H18" s="1358"/>
      <c r="I18" s="1358"/>
      <c r="J18" s="1361"/>
      <c r="K18" s="1357">
        <f t="shared" si="1"/>
        <v>7530</v>
      </c>
      <c r="L18" s="1358">
        <f t="shared" si="2"/>
        <v>13904</v>
      </c>
      <c r="M18" s="1358">
        <f t="shared" si="3"/>
        <v>16062</v>
      </c>
      <c r="N18" s="1359">
        <f t="shared" si="6"/>
        <v>115.52071346375145</v>
      </c>
    </row>
    <row r="19" spans="1:14" s="1325" customFormat="1" ht="23.25" x14ac:dyDescent="0.35">
      <c r="A19" s="1323" t="s">
        <v>395</v>
      </c>
      <c r="B19" s="1344" t="s">
        <v>394</v>
      </c>
      <c r="C19" s="1357">
        <f>'2.Bevételek_részletes'!D21</f>
        <v>83056.126000000004</v>
      </c>
      <c r="D19" s="1358">
        <f>'2.Bevételek_részletes'!E21</f>
        <v>86570.126000000004</v>
      </c>
      <c r="E19" s="1358">
        <f>'2.Bevételek_részletes'!F21</f>
        <v>14896</v>
      </c>
      <c r="F19" s="1359">
        <f t="shared" si="0"/>
        <v>17.206859557995791</v>
      </c>
      <c r="G19" s="1360"/>
      <c r="H19" s="1358"/>
      <c r="I19" s="1358"/>
      <c r="J19" s="1361"/>
      <c r="K19" s="1357">
        <f t="shared" si="1"/>
        <v>83056.126000000004</v>
      </c>
      <c r="L19" s="1358">
        <f t="shared" si="2"/>
        <v>86570.126000000004</v>
      </c>
      <c r="M19" s="1358">
        <f t="shared" si="3"/>
        <v>14896</v>
      </c>
      <c r="N19" s="1359">
        <f t="shared" si="6"/>
        <v>17.206859557995791</v>
      </c>
    </row>
    <row r="20" spans="1:14" s="1325" customFormat="1" ht="23.25" x14ac:dyDescent="0.35">
      <c r="A20" s="1323" t="s">
        <v>397</v>
      </c>
      <c r="B20" s="1344" t="s">
        <v>396</v>
      </c>
      <c r="C20" s="1357">
        <f>'2.Bevételek_részletes'!D22</f>
        <v>0</v>
      </c>
      <c r="D20" s="1358">
        <f>'2.Bevételek_részletes'!E22</f>
        <v>0</v>
      </c>
      <c r="E20" s="1358">
        <f>'2.Bevételek_részletes'!F22</f>
        <v>0</v>
      </c>
      <c r="F20" s="1359"/>
      <c r="G20" s="1360"/>
      <c r="H20" s="1358"/>
      <c r="I20" s="1358"/>
      <c r="J20" s="1361"/>
      <c r="K20" s="1357">
        <f t="shared" si="1"/>
        <v>0</v>
      </c>
      <c r="L20" s="1358">
        <f t="shared" si="2"/>
        <v>0</v>
      </c>
      <c r="M20" s="1358">
        <f t="shared" si="3"/>
        <v>0</v>
      </c>
      <c r="N20" s="1359"/>
    </row>
    <row r="21" spans="1:14" s="1325" customFormat="1" ht="23.25" x14ac:dyDescent="0.35">
      <c r="A21" s="1323" t="s">
        <v>399</v>
      </c>
      <c r="B21" s="1344" t="s">
        <v>398</v>
      </c>
      <c r="C21" s="1357">
        <f>'2.Bevételek_részletes'!D23</f>
        <v>0</v>
      </c>
      <c r="D21" s="1358">
        <f>'2.Bevételek_részletes'!E23</f>
        <v>4536</v>
      </c>
      <c r="E21" s="1358">
        <f>'2.Bevételek_részletes'!F23</f>
        <v>5287</v>
      </c>
      <c r="F21" s="1359">
        <f t="shared" si="0"/>
        <v>116.55643738977072</v>
      </c>
      <c r="G21" s="1360"/>
      <c r="H21" s="1358"/>
      <c r="I21" s="1358"/>
      <c r="J21" s="1361"/>
      <c r="K21" s="1357">
        <f t="shared" si="1"/>
        <v>0</v>
      </c>
      <c r="L21" s="1358">
        <f t="shared" si="2"/>
        <v>4536</v>
      </c>
      <c r="M21" s="1358">
        <f t="shared" si="3"/>
        <v>5287</v>
      </c>
      <c r="N21" s="1359">
        <f t="shared" si="6"/>
        <v>116.55643738977072</v>
      </c>
    </row>
    <row r="22" spans="1:14" s="1325" customFormat="1" ht="23.25" x14ac:dyDescent="0.35">
      <c r="A22" s="1323" t="s">
        <v>401</v>
      </c>
      <c r="B22" s="1344" t="s">
        <v>400</v>
      </c>
      <c r="C22" s="1357">
        <f>'2.Bevételek_részletes'!D24</f>
        <v>3500</v>
      </c>
      <c r="D22" s="1358">
        <f>'2.Bevételek_részletes'!E24</f>
        <v>3500</v>
      </c>
      <c r="E22" s="1358">
        <f>'2.Bevételek_részletes'!F24</f>
        <v>2853</v>
      </c>
      <c r="F22" s="1359">
        <f t="shared" si="0"/>
        <v>81.51428571428572</v>
      </c>
      <c r="G22" s="1360"/>
      <c r="H22" s="1358"/>
      <c r="I22" s="1358"/>
      <c r="J22" s="1361"/>
      <c r="K22" s="1357">
        <f t="shared" si="1"/>
        <v>3500</v>
      </c>
      <c r="L22" s="1358">
        <f t="shared" si="2"/>
        <v>3500</v>
      </c>
      <c r="M22" s="1358">
        <f t="shared" si="3"/>
        <v>2853</v>
      </c>
      <c r="N22" s="1359">
        <f t="shared" si="6"/>
        <v>81.51428571428572</v>
      </c>
    </row>
    <row r="23" spans="1:14" s="1325" customFormat="1" ht="23.25" x14ac:dyDescent="0.35">
      <c r="A23" s="1323" t="s">
        <v>874</v>
      </c>
      <c r="B23" s="1344" t="s">
        <v>1</v>
      </c>
      <c r="C23" s="1357"/>
      <c r="D23" s="1358">
        <f>'2.Bevételek_részletes'!E25</f>
        <v>3357</v>
      </c>
      <c r="E23" s="1358">
        <f>'2.Bevételek_részletes'!F25</f>
        <v>11184</v>
      </c>
      <c r="F23" s="1359">
        <f t="shared" si="0"/>
        <v>333.15460232350313</v>
      </c>
      <c r="G23" s="1360"/>
      <c r="H23" s="1358"/>
      <c r="I23" s="1358"/>
      <c r="J23" s="1361"/>
      <c r="K23" s="1357">
        <f t="shared" si="1"/>
        <v>0</v>
      </c>
      <c r="L23" s="1358">
        <f t="shared" si="2"/>
        <v>3357</v>
      </c>
      <c r="M23" s="1358">
        <f t="shared" si="3"/>
        <v>11184</v>
      </c>
      <c r="N23" s="1359">
        <f t="shared" si="6"/>
        <v>333.15460232350313</v>
      </c>
    </row>
    <row r="24" spans="1:14" s="1325" customFormat="1" ht="22.5" x14ac:dyDescent="0.3">
      <c r="A24" s="1324" t="s">
        <v>403</v>
      </c>
      <c r="B24" s="1348" t="s">
        <v>402</v>
      </c>
      <c r="C24" s="1362">
        <f>SUM(C16:C22)</f>
        <v>146979.88036000001</v>
      </c>
      <c r="D24" s="1363">
        <f>SUM(D16:D23)</f>
        <v>163760.88036000001</v>
      </c>
      <c r="E24" s="1363">
        <f>SUM(E16:E23)</f>
        <v>103966.1</v>
      </c>
      <c r="F24" s="1364">
        <f t="shared" si="0"/>
        <v>63.486529732527387</v>
      </c>
      <c r="G24" s="1365">
        <f t="shared" ref="G24" si="9">SUM(G16:G22)</f>
        <v>0</v>
      </c>
      <c r="H24" s="1363">
        <f t="shared" ref="H24:I24" si="10">SUM(H16:H22)</f>
        <v>0</v>
      </c>
      <c r="I24" s="1363">
        <f t="shared" si="10"/>
        <v>0</v>
      </c>
      <c r="J24" s="1366"/>
      <c r="K24" s="1362">
        <f t="shared" si="1"/>
        <v>146979.88036000001</v>
      </c>
      <c r="L24" s="1363">
        <f t="shared" si="2"/>
        <v>163760.88036000001</v>
      </c>
      <c r="M24" s="1363">
        <f t="shared" si="3"/>
        <v>103966.1</v>
      </c>
      <c r="N24" s="1364">
        <f t="shared" si="6"/>
        <v>63.486529732527387</v>
      </c>
    </row>
    <row r="25" spans="1:14" s="1325" customFormat="1" ht="22.5" x14ac:dyDescent="0.3">
      <c r="A25" s="1324" t="s">
        <v>409</v>
      </c>
      <c r="B25" s="1345" t="s">
        <v>408</v>
      </c>
      <c r="C25" s="1362">
        <f>'2.Bevételek_részletes'!D29</f>
        <v>8379</v>
      </c>
      <c r="D25" s="1363">
        <f>'2.Bevételek_részletes'!E29</f>
        <v>8379</v>
      </c>
      <c r="E25" s="1363">
        <f>'2.Bevételek_részletes'!F29</f>
        <v>10315</v>
      </c>
      <c r="F25" s="1364">
        <f t="shared" si="0"/>
        <v>123.10538250387873</v>
      </c>
      <c r="G25" s="1365"/>
      <c r="H25" s="1363"/>
      <c r="I25" s="1363"/>
      <c r="J25" s="1366"/>
      <c r="K25" s="1362">
        <f t="shared" si="1"/>
        <v>8379</v>
      </c>
      <c r="L25" s="1363">
        <f t="shared" si="2"/>
        <v>8379</v>
      </c>
      <c r="M25" s="1363">
        <f t="shared" si="3"/>
        <v>10315</v>
      </c>
      <c r="N25" s="1364">
        <f t="shared" si="6"/>
        <v>123.10538250387873</v>
      </c>
    </row>
    <row r="26" spans="1:14" s="1325" customFormat="1" ht="22.5" x14ac:dyDescent="0.3">
      <c r="A26" s="1324" t="s">
        <v>413</v>
      </c>
      <c r="B26" s="1345" t="s">
        <v>412</v>
      </c>
      <c r="C26" s="1362">
        <f>'2.Bevételek_részletes'!D31</f>
        <v>0</v>
      </c>
      <c r="D26" s="1363">
        <f>'2.Bevételek_részletes'!E31</f>
        <v>0</v>
      </c>
      <c r="E26" s="1363">
        <f>'2.Bevételek_részletes'!F31</f>
        <v>0</v>
      </c>
      <c r="F26" s="1364"/>
      <c r="G26" s="1365"/>
      <c r="H26" s="1363"/>
      <c r="I26" s="1363"/>
      <c r="J26" s="1366"/>
      <c r="K26" s="1362">
        <f t="shared" si="1"/>
        <v>0</v>
      </c>
      <c r="L26" s="1363">
        <f t="shared" si="2"/>
        <v>0</v>
      </c>
      <c r="M26" s="1363">
        <f t="shared" si="3"/>
        <v>0</v>
      </c>
      <c r="N26" s="1364"/>
    </row>
    <row r="27" spans="1:14" s="1325" customFormat="1" ht="46.5" x14ac:dyDescent="0.35">
      <c r="A27" s="1323" t="s">
        <v>415</v>
      </c>
      <c r="B27" s="1344" t="s">
        <v>414</v>
      </c>
      <c r="C27" s="1357">
        <f>'2.Bevételek_részletes'!D32</f>
        <v>660</v>
      </c>
      <c r="D27" s="1358">
        <f>'2.Bevételek_részletes'!E32</f>
        <v>660</v>
      </c>
      <c r="E27" s="1358">
        <f>'2.Bevételek_részletes'!F32</f>
        <v>1396</v>
      </c>
      <c r="F27" s="1359">
        <f t="shared" si="0"/>
        <v>211.51515151515153</v>
      </c>
      <c r="G27" s="1360"/>
      <c r="H27" s="1358"/>
      <c r="I27" s="1358"/>
      <c r="J27" s="1361"/>
      <c r="K27" s="1357">
        <f t="shared" si="1"/>
        <v>660</v>
      </c>
      <c r="L27" s="1358">
        <f t="shared" si="2"/>
        <v>660</v>
      </c>
      <c r="M27" s="1358">
        <f t="shared" si="3"/>
        <v>1396</v>
      </c>
      <c r="N27" s="1359">
        <f t="shared" si="6"/>
        <v>211.51515151515153</v>
      </c>
    </row>
    <row r="28" spans="1:14" s="1325" customFormat="1" ht="23.25" x14ac:dyDescent="0.35">
      <c r="A28" s="1323" t="s">
        <v>417</v>
      </c>
      <c r="B28" s="1347" t="s">
        <v>416</v>
      </c>
      <c r="C28" s="1357">
        <f>'2.Bevételek_részletes'!D33</f>
        <v>2066</v>
      </c>
      <c r="D28" s="1358">
        <f>'2.Bevételek_részletes'!E33</f>
        <v>0</v>
      </c>
      <c r="E28" s="1358">
        <f>'2.Bevételek_részletes'!F33</f>
        <v>0</v>
      </c>
      <c r="F28" s="1359"/>
      <c r="G28" s="1360"/>
      <c r="H28" s="1358"/>
      <c r="I28" s="1358"/>
      <c r="J28" s="1361"/>
      <c r="K28" s="1357">
        <f t="shared" si="1"/>
        <v>2066</v>
      </c>
      <c r="L28" s="1358">
        <f t="shared" si="2"/>
        <v>0</v>
      </c>
      <c r="M28" s="1358">
        <f t="shared" si="3"/>
        <v>0</v>
      </c>
      <c r="N28" s="1359"/>
    </row>
    <row r="29" spans="1:14" s="1325" customFormat="1" ht="22.5" x14ac:dyDescent="0.3">
      <c r="A29" s="1324" t="s">
        <v>419</v>
      </c>
      <c r="B29" s="1345" t="s">
        <v>418</v>
      </c>
      <c r="C29" s="1362">
        <f>SUM(C27:C28)</f>
        <v>2726</v>
      </c>
      <c r="D29" s="1363">
        <f>SUM(D27:D28)</f>
        <v>660</v>
      </c>
      <c r="E29" s="1363">
        <f>SUM(E27:E28)</f>
        <v>1396</v>
      </c>
      <c r="F29" s="1364">
        <f t="shared" si="0"/>
        <v>211.51515151515153</v>
      </c>
      <c r="G29" s="1365"/>
      <c r="H29" s="1363"/>
      <c r="I29" s="1363"/>
      <c r="J29" s="1366"/>
      <c r="K29" s="1362">
        <f t="shared" si="1"/>
        <v>2726</v>
      </c>
      <c r="L29" s="1363">
        <f t="shared" si="2"/>
        <v>660</v>
      </c>
      <c r="M29" s="1363">
        <f t="shared" si="3"/>
        <v>1396</v>
      </c>
      <c r="N29" s="1364">
        <f t="shared" si="6"/>
        <v>211.51515151515153</v>
      </c>
    </row>
    <row r="30" spans="1:14" s="1325" customFormat="1" ht="22.5" x14ac:dyDescent="0.3">
      <c r="A30" s="1327"/>
      <c r="B30" s="1349" t="s">
        <v>92</v>
      </c>
      <c r="C30" s="1367">
        <f>SUM(C10,C15,C24,C26)</f>
        <v>1396377.5822662751</v>
      </c>
      <c r="D30" s="1368">
        <f>SUM(D10,D15,D24,D26)</f>
        <v>1471279.5822662751</v>
      </c>
      <c r="E30" s="1368">
        <f>SUM(E10,E15,E24,E26)</f>
        <v>1481341.1</v>
      </c>
      <c r="F30" s="1369">
        <f t="shared" si="0"/>
        <v>100.6838617116012</v>
      </c>
      <c r="G30" s="1370">
        <f>SUM(G10,G15,G24,G26)</f>
        <v>0</v>
      </c>
      <c r="H30" s="1368">
        <f t="shared" ref="H30:I30" si="11">SUM(H10,H15,H24,H26)</f>
        <v>0</v>
      </c>
      <c r="I30" s="1368">
        <f t="shared" si="11"/>
        <v>0</v>
      </c>
      <c r="J30" s="1371"/>
      <c r="K30" s="1367">
        <f t="shared" si="1"/>
        <v>1396377.5822662751</v>
      </c>
      <c r="L30" s="1368">
        <f t="shared" si="2"/>
        <v>1471279.5822662751</v>
      </c>
      <c r="M30" s="1368">
        <f t="shared" si="3"/>
        <v>1481341.1</v>
      </c>
      <c r="N30" s="1369">
        <f t="shared" si="6"/>
        <v>100.6838617116012</v>
      </c>
    </row>
    <row r="31" spans="1:14" s="1325" customFormat="1" ht="22.5" x14ac:dyDescent="0.3">
      <c r="A31" s="1327"/>
      <c r="B31" s="1349" t="s">
        <v>93</v>
      </c>
      <c r="C31" s="1367">
        <f>SUM(C11,C25,C29)</f>
        <v>11105</v>
      </c>
      <c r="D31" s="1368">
        <f>SUM(D11,D25,D29)</f>
        <v>130816</v>
      </c>
      <c r="E31" s="1368">
        <f>SUM(E11,E25,E29)</f>
        <v>133488</v>
      </c>
      <c r="F31" s="1369">
        <f t="shared" si="0"/>
        <v>102.04256360078277</v>
      </c>
      <c r="G31" s="1370">
        <f>SUM(G11,G25,G29)</f>
        <v>0</v>
      </c>
      <c r="H31" s="1368">
        <f t="shared" ref="H31:I31" si="12">SUM(H11,H25,H29)</f>
        <v>0</v>
      </c>
      <c r="I31" s="1368">
        <f t="shared" si="12"/>
        <v>0</v>
      </c>
      <c r="J31" s="1371"/>
      <c r="K31" s="1367">
        <f t="shared" si="1"/>
        <v>11105</v>
      </c>
      <c r="L31" s="1368">
        <f t="shared" si="2"/>
        <v>130816</v>
      </c>
      <c r="M31" s="1368">
        <f t="shared" si="3"/>
        <v>133488</v>
      </c>
      <c r="N31" s="1369">
        <f t="shared" si="6"/>
        <v>102.04256360078277</v>
      </c>
    </row>
    <row r="32" spans="1:14" s="1325" customFormat="1" ht="22.5" x14ac:dyDescent="0.3">
      <c r="A32" s="1328" t="s">
        <v>421</v>
      </c>
      <c r="B32" s="1350" t="s">
        <v>420</v>
      </c>
      <c r="C32" s="1372">
        <f>C30+C31</f>
        <v>1407482.5822662751</v>
      </c>
      <c r="D32" s="1373">
        <f>D30+D31</f>
        <v>1602095.5822662751</v>
      </c>
      <c r="E32" s="1373">
        <f>E30+E31</f>
        <v>1614829.1</v>
      </c>
      <c r="F32" s="1374">
        <f t="shared" si="0"/>
        <v>100.79480387279469</v>
      </c>
      <c r="G32" s="1375">
        <f>SUM(G30:G31)</f>
        <v>0</v>
      </c>
      <c r="H32" s="1373">
        <f t="shared" ref="H32:I32" si="13">SUM(H30:H31)</f>
        <v>0</v>
      </c>
      <c r="I32" s="1373">
        <f t="shared" si="13"/>
        <v>0</v>
      </c>
      <c r="J32" s="1376"/>
      <c r="K32" s="1372">
        <f t="shared" si="1"/>
        <v>1407482.5822662751</v>
      </c>
      <c r="L32" s="1373">
        <f t="shared" si="2"/>
        <v>1602095.5822662751</v>
      </c>
      <c r="M32" s="1373">
        <f t="shared" si="3"/>
        <v>1614829.1</v>
      </c>
      <c r="N32" s="1374">
        <f t="shared" si="6"/>
        <v>100.79480387279469</v>
      </c>
    </row>
    <row r="33" spans="1:16" ht="23.25" x14ac:dyDescent="0.35">
      <c r="A33" s="1329"/>
      <c r="B33" s="1351" t="s">
        <v>422</v>
      </c>
      <c r="C33" s="1377">
        <f t="shared" ref="C33:E34" si="14">C30-C66</f>
        <v>819375.87426627509</v>
      </c>
      <c r="D33" s="1378">
        <f t="shared" si="14"/>
        <v>888825.87426627509</v>
      </c>
      <c r="E33" s="1378">
        <f t="shared" si="14"/>
        <v>1060537.1000000001</v>
      </c>
      <c r="F33" s="1379"/>
      <c r="G33" s="1380">
        <f>G30-G66</f>
        <v>-1251</v>
      </c>
      <c r="H33" s="1378">
        <f t="shared" ref="H33:I33" si="15">H30-H66</f>
        <v>-1251</v>
      </c>
      <c r="I33" s="1378">
        <f t="shared" si="15"/>
        <v>-1251</v>
      </c>
      <c r="J33" s="1381"/>
      <c r="K33" s="1377">
        <f t="shared" si="1"/>
        <v>818124.87426627509</v>
      </c>
      <c r="L33" s="1378">
        <f t="shared" si="2"/>
        <v>887574.87426627509</v>
      </c>
      <c r="M33" s="1378">
        <f t="shared" si="3"/>
        <v>1059286.1000000001</v>
      </c>
      <c r="N33" s="1379"/>
    </row>
    <row r="34" spans="1:16" ht="23.25" x14ac:dyDescent="0.35">
      <c r="A34" s="1329"/>
      <c r="B34" s="1351" t="s">
        <v>423</v>
      </c>
      <c r="C34" s="1377">
        <f t="shared" si="14"/>
        <v>-281178</v>
      </c>
      <c r="D34" s="1378">
        <f t="shared" si="14"/>
        <v>-298707</v>
      </c>
      <c r="E34" s="1378">
        <f t="shared" si="14"/>
        <v>-194098</v>
      </c>
      <c r="F34" s="1379"/>
      <c r="G34" s="1380">
        <f>G31-G67</f>
        <v>0</v>
      </c>
      <c r="H34" s="1378">
        <f t="shared" ref="H34:I34" si="16">H31-H67</f>
        <v>0</v>
      </c>
      <c r="I34" s="1378">
        <f t="shared" si="16"/>
        <v>0</v>
      </c>
      <c r="J34" s="1381"/>
      <c r="K34" s="1377">
        <f t="shared" si="1"/>
        <v>-281178</v>
      </c>
      <c r="L34" s="1378">
        <f t="shared" si="2"/>
        <v>-298707</v>
      </c>
      <c r="M34" s="1378">
        <f t="shared" si="3"/>
        <v>-194098</v>
      </c>
      <c r="N34" s="1379"/>
    </row>
    <row r="35" spans="1:16" ht="23.25" x14ac:dyDescent="0.35">
      <c r="A35" s="1330" t="s">
        <v>427</v>
      </c>
      <c r="B35" s="1347" t="s">
        <v>426</v>
      </c>
      <c r="C35" s="1357">
        <f>'2.Bevételek_részletes'!D39</f>
        <v>0</v>
      </c>
      <c r="D35" s="1358">
        <f>'2.Bevételek_részletes'!E39</f>
        <v>0</v>
      </c>
      <c r="E35" s="1358">
        <f>'2.Bevételek_részletes'!F39</f>
        <v>0</v>
      </c>
      <c r="F35" s="1359"/>
      <c r="G35" s="1360"/>
      <c r="H35" s="1358"/>
      <c r="I35" s="1358"/>
      <c r="J35" s="1361"/>
      <c r="K35" s="1357">
        <f t="shared" si="1"/>
        <v>0</v>
      </c>
      <c r="L35" s="1358">
        <f t="shared" si="2"/>
        <v>0</v>
      </c>
      <c r="M35" s="1358">
        <f t="shared" si="3"/>
        <v>0</v>
      </c>
      <c r="N35" s="1359"/>
    </row>
    <row r="36" spans="1:16" ht="23.25" x14ac:dyDescent="0.35">
      <c r="A36" s="1330" t="s">
        <v>652</v>
      </c>
      <c r="B36" s="1347" t="str">
        <f>'15. finanszírozás be_ki (B8,K9)'!C8</f>
        <v xml:space="preserve">Finanszírozási bevételek </v>
      </c>
      <c r="C36" s="1357"/>
      <c r="D36" s="1358">
        <f>'2.Bevételek_részletes'!E41</f>
        <v>350000</v>
      </c>
      <c r="E36" s="1358">
        <f>'2.Bevételek_részletes'!F41</f>
        <v>200000</v>
      </c>
      <c r="F36" s="1359">
        <f t="shared" ref="F36:F43" si="17">E36/D36%</f>
        <v>57.142857142857146</v>
      </c>
      <c r="G36" s="1360"/>
      <c r="H36" s="1358"/>
      <c r="I36" s="1358"/>
      <c r="J36" s="1361"/>
      <c r="K36" s="1357">
        <f t="shared" si="1"/>
        <v>0</v>
      </c>
      <c r="L36" s="1358">
        <f t="shared" si="2"/>
        <v>350000</v>
      </c>
      <c r="M36" s="1358">
        <f t="shared" si="3"/>
        <v>200000</v>
      </c>
      <c r="N36" s="1359">
        <f t="shared" ref="N36:N43" si="18">M36/L36%</f>
        <v>57.142857142857146</v>
      </c>
    </row>
    <row r="37" spans="1:16" ht="46.5" x14ac:dyDescent="0.35">
      <c r="A37" s="1330" t="s">
        <v>429</v>
      </c>
      <c r="B37" s="1344" t="s">
        <v>428</v>
      </c>
      <c r="C37" s="1357">
        <f>'2.Bevételek_részletes'!D42</f>
        <v>90286</v>
      </c>
      <c r="D37" s="1358">
        <f>'2.Bevételek_részletes'!E42</f>
        <v>99723</v>
      </c>
      <c r="E37" s="1358">
        <f>'2.Bevételek_részletes'!F42</f>
        <v>99723</v>
      </c>
      <c r="F37" s="1359">
        <f t="shared" si="17"/>
        <v>100</v>
      </c>
      <c r="G37" s="1360"/>
      <c r="H37" s="1358"/>
      <c r="I37" s="1358"/>
      <c r="J37" s="1361"/>
      <c r="K37" s="1357">
        <f t="shared" si="1"/>
        <v>90286</v>
      </c>
      <c r="L37" s="1358">
        <f t="shared" si="2"/>
        <v>99723</v>
      </c>
      <c r="M37" s="1358">
        <f t="shared" si="3"/>
        <v>99723</v>
      </c>
      <c r="N37" s="1359">
        <f t="shared" si="18"/>
        <v>100</v>
      </c>
    </row>
    <row r="38" spans="1:16" ht="46.5" x14ac:dyDescent="0.35">
      <c r="A38" s="1330" t="s">
        <v>429</v>
      </c>
      <c r="B38" s="1344" t="s">
        <v>430</v>
      </c>
      <c r="C38" s="1357">
        <f>'2.Bevételek_részletes'!D43</f>
        <v>325163</v>
      </c>
      <c r="D38" s="1358">
        <f>'2.Bevételek_részletes'!E43</f>
        <v>277334</v>
      </c>
      <c r="E38" s="1358">
        <f>'2.Bevételek_részletes'!F43</f>
        <v>330318</v>
      </c>
      <c r="F38" s="1359">
        <f t="shared" si="17"/>
        <v>119.10476176739959</v>
      </c>
      <c r="G38" s="1360"/>
      <c r="H38" s="1358"/>
      <c r="I38" s="1358"/>
      <c r="J38" s="1361"/>
      <c r="K38" s="1357">
        <f t="shared" si="1"/>
        <v>325163</v>
      </c>
      <c r="L38" s="1358">
        <f t="shared" si="2"/>
        <v>277334</v>
      </c>
      <c r="M38" s="1358">
        <f t="shared" si="3"/>
        <v>330318</v>
      </c>
      <c r="N38" s="1359">
        <f t="shared" si="18"/>
        <v>119.10476176739959</v>
      </c>
    </row>
    <row r="39" spans="1:16" ht="23.25" x14ac:dyDescent="0.35">
      <c r="A39" s="1330" t="s">
        <v>432</v>
      </c>
      <c r="B39" s="1344" t="s">
        <v>431</v>
      </c>
      <c r="C39" s="1362">
        <f>SUM(C37:C38)</f>
        <v>415449</v>
      </c>
      <c r="D39" s="1363">
        <f>SUM(D37:D38)</f>
        <v>377057</v>
      </c>
      <c r="E39" s="1363">
        <f>SUM(E37:E38)</f>
        <v>430041</v>
      </c>
      <c r="F39" s="1359">
        <f t="shared" si="17"/>
        <v>114.05198683488172</v>
      </c>
      <c r="G39" s="1365">
        <f>SUM(G37:G38)</f>
        <v>0</v>
      </c>
      <c r="H39" s="1363">
        <f t="shared" ref="H39:I39" si="19">SUM(H37:H38)</f>
        <v>0</v>
      </c>
      <c r="I39" s="1363">
        <f t="shared" si="19"/>
        <v>0</v>
      </c>
      <c r="J39" s="1366"/>
      <c r="K39" s="1362">
        <f t="shared" si="1"/>
        <v>415449</v>
      </c>
      <c r="L39" s="1363">
        <f t="shared" si="2"/>
        <v>377057</v>
      </c>
      <c r="M39" s="1363">
        <f t="shared" si="3"/>
        <v>430041</v>
      </c>
      <c r="N39" s="1359">
        <f t="shared" si="18"/>
        <v>114.05198683488172</v>
      </c>
    </row>
    <row r="40" spans="1:16" ht="23.25" x14ac:dyDescent="0.35">
      <c r="A40" s="1330" t="s">
        <v>732</v>
      </c>
      <c r="B40" s="1344" t="s">
        <v>979</v>
      </c>
      <c r="C40" s="1362"/>
      <c r="D40" s="1363"/>
      <c r="E40" s="1363">
        <f>'2.Bevételek_részletes'!F45</f>
        <v>12784</v>
      </c>
      <c r="F40" s="1359"/>
      <c r="G40" s="1365"/>
      <c r="H40" s="1363"/>
      <c r="I40" s="1363"/>
      <c r="J40" s="1366"/>
      <c r="K40" s="1357">
        <f t="shared" ref="K40" si="20">C40+G40</f>
        <v>0</v>
      </c>
      <c r="L40" s="1358">
        <f t="shared" ref="L40" si="21">D40+H40</f>
        <v>0</v>
      </c>
      <c r="M40" s="1358">
        <f t="shared" ref="M40" si="22">E40+I40</f>
        <v>12784</v>
      </c>
      <c r="N40" s="1359"/>
    </row>
    <row r="41" spans="1:16" ht="23.25" x14ac:dyDescent="0.35">
      <c r="A41" s="1330" t="s">
        <v>434</v>
      </c>
      <c r="B41" s="1344" t="s">
        <v>433</v>
      </c>
      <c r="C41" s="1357"/>
      <c r="D41" s="1358"/>
      <c r="E41" s="1358"/>
      <c r="F41" s="1382"/>
      <c r="G41" s="1360"/>
      <c r="H41" s="1358"/>
      <c r="I41" s="1358"/>
      <c r="J41" s="1361"/>
      <c r="K41" s="1357">
        <f t="shared" si="1"/>
        <v>0</v>
      </c>
      <c r="L41" s="1358">
        <f t="shared" si="2"/>
        <v>0</v>
      </c>
      <c r="M41" s="1358">
        <f t="shared" si="3"/>
        <v>0</v>
      </c>
      <c r="N41" s="1382"/>
    </row>
    <row r="42" spans="1:16" s="1325" customFormat="1" ht="22.5" x14ac:dyDescent="0.3">
      <c r="A42" s="1331" t="s">
        <v>442</v>
      </c>
      <c r="B42" s="1352" t="s">
        <v>441</v>
      </c>
      <c r="C42" s="1372">
        <f>C35+C39+C41</f>
        <v>415449</v>
      </c>
      <c r="D42" s="1373">
        <f>D35+D39+D41+D36</f>
        <v>727057</v>
      </c>
      <c r="E42" s="1373">
        <f>E35+E39+E41+E40+E36</f>
        <v>642825</v>
      </c>
      <c r="F42" s="1374">
        <f t="shared" si="17"/>
        <v>88.414663499560561</v>
      </c>
      <c r="G42" s="1375">
        <f>G35+G39+G41</f>
        <v>0</v>
      </c>
      <c r="H42" s="1373">
        <f t="shared" ref="H42:I42" si="23">H35+H39+H41</f>
        <v>0</v>
      </c>
      <c r="I42" s="1373">
        <f t="shared" si="23"/>
        <v>0</v>
      </c>
      <c r="J42" s="1376"/>
      <c r="K42" s="1372">
        <f t="shared" si="1"/>
        <v>415449</v>
      </c>
      <c r="L42" s="1373">
        <f t="shared" si="2"/>
        <v>727057</v>
      </c>
      <c r="M42" s="1373">
        <f>E42+I42</f>
        <v>642825</v>
      </c>
      <c r="N42" s="1374">
        <f t="shared" si="18"/>
        <v>88.414663499560561</v>
      </c>
    </row>
    <row r="43" spans="1:16" ht="23.25" thickBot="1" x14ac:dyDescent="0.35">
      <c r="A43" s="1332"/>
      <c r="B43" s="1353" t="s">
        <v>356</v>
      </c>
      <c r="C43" s="1383">
        <f>C32+C42</f>
        <v>1822931.5822662751</v>
      </c>
      <c r="D43" s="1384">
        <f>D32+D42</f>
        <v>2329152.5822662748</v>
      </c>
      <c r="E43" s="1384">
        <f>E32+E42</f>
        <v>2257654.1</v>
      </c>
      <c r="F43" s="1385">
        <f t="shared" si="17"/>
        <v>96.930279157722396</v>
      </c>
      <c r="G43" s="1386">
        <f t="shared" ref="G43" si="24">G32+G42</f>
        <v>0</v>
      </c>
      <c r="H43" s="1384">
        <f t="shared" ref="H43:I43" si="25">H32+H42</f>
        <v>0</v>
      </c>
      <c r="I43" s="1384">
        <f t="shared" si="25"/>
        <v>0</v>
      </c>
      <c r="J43" s="1387"/>
      <c r="K43" s="1383">
        <f t="shared" si="1"/>
        <v>1822931.5822662751</v>
      </c>
      <c r="L43" s="1384">
        <f t="shared" si="2"/>
        <v>2329152.5822662748</v>
      </c>
      <c r="M43" s="1384">
        <f t="shared" si="3"/>
        <v>2257654.1</v>
      </c>
      <c r="N43" s="1385">
        <f t="shared" si="18"/>
        <v>96.930279157722396</v>
      </c>
    </row>
    <row r="44" spans="1:16" ht="21" thickBot="1" x14ac:dyDescent="0.35">
      <c r="A44" s="1333"/>
      <c r="B44" s="1333"/>
      <c r="C44" s="1333"/>
      <c r="D44" s="1333"/>
      <c r="E44" s="1333"/>
      <c r="F44" s="1333"/>
      <c r="G44" s="1333"/>
      <c r="H44" s="1333"/>
      <c r="I44" s="1333"/>
      <c r="J44" s="1333"/>
      <c r="K44" s="1333"/>
      <c r="L44" s="1334"/>
      <c r="M44" s="1334"/>
      <c r="N44" s="1334"/>
      <c r="P44" s="1340"/>
    </row>
    <row r="45" spans="1:16" ht="20.25" x14ac:dyDescent="0.3">
      <c r="A45" s="2419" t="s">
        <v>364</v>
      </c>
      <c r="B45" s="2421" t="s">
        <v>804</v>
      </c>
      <c r="C45" s="2423" t="s">
        <v>152</v>
      </c>
      <c r="D45" s="2424"/>
      <c r="E45" s="2424"/>
      <c r="F45" s="2425"/>
      <c r="G45" s="2426" t="s">
        <v>1107</v>
      </c>
      <c r="H45" s="2424"/>
      <c r="I45" s="2424"/>
      <c r="J45" s="2427"/>
      <c r="K45" s="2423" t="s">
        <v>444</v>
      </c>
      <c r="L45" s="2424"/>
      <c r="M45" s="2424"/>
      <c r="N45" s="2425"/>
    </row>
    <row r="46" spans="1:16" ht="121.5" x14ac:dyDescent="0.3">
      <c r="A46" s="2420"/>
      <c r="B46" s="2422" t="s">
        <v>799</v>
      </c>
      <c r="C46" s="1317" t="s">
        <v>1101</v>
      </c>
      <c r="D46" s="1318" t="s">
        <v>1102</v>
      </c>
      <c r="E46" s="1318" t="s">
        <v>1103</v>
      </c>
      <c r="F46" s="1319" t="s">
        <v>1084</v>
      </c>
      <c r="G46" s="1320" t="s">
        <v>1104</v>
      </c>
      <c r="H46" s="1318" t="s">
        <v>1105</v>
      </c>
      <c r="I46" s="1318" t="s">
        <v>1106</v>
      </c>
      <c r="J46" s="1321" t="s">
        <v>1084</v>
      </c>
      <c r="K46" s="1322" t="s">
        <v>1007</v>
      </c>
      <c r="L46" s="1318" t="s">
        <v>1069</v>
      </c>
      <c r="M46" s="1318" t="s">
        <v>1108</v>
      </c>
      <c r="N46" s="1319" t="s">
        <v>1084</v>
      </c>
    </row>
    <row r="47" spans="1:16" ht="23.25" x14ac:dyDescent="0.35">
      <c r="A47" s="1335" t="s">
        <v>288</v>
      </c>
      <c r="B47" s="1354" t="s">
        <v>289</v>
      </c>
      <c r="C47" s="1362">
        <f>'2.Kiadások_részletes '!D11-C48-C49-G47</f>
        <v>47226</v>
      </c>
      <c r="D47" s="1363">
        <f>'2.Kiadások_részletes '!E11-D48-D49-H47</f>
        <v>46904</v>
      </c>
      <c r="E47" s="1363">
        <f>'2.Kiadások_részletes '!F11-E48-E49-I47</f>
        <v>42188</v>
      </c>
      <c r="F47" s="1364">
        <f>E47/D47%</f>
        <v>89.945420433225308</v>
      </c>
      <c r="G47" s="1365">
        <v>1044</v>
      </c>
      <c r="H47" s="1363">
        <f>G47</f>
        <v>1044</v>
      </c>
      <c r="I47" s="1722">
        <v>1044</v>
      </c>
      <c r="J47" s="1388">
        <f>I47/H47%</f>
        <v>100</v>
      </c>
      <c r="K47" s="1362">
        <f t="shared" ref="K47" si="26">C47+G47</f>
        <v>48270</v>
      </c>
      <c r="L47" s="1363">
        <f t="shared" ref="L47" si="27">D47+H47</f>
        <v>47948</v>
      </c>
      <c r="M47" s="1363">
        <f t="shared" ref="M47" si="28">E47+I47</f>
        <v>43232</v>
      </c>
      <c r="N47" s="1364">
        <f>M47/L47%</f>
        <v>90.164344706765661</v>
      </c>
    </row>
    <row r="48" spans="1:16" ht="81" x14ac:dyDescent="0.35">
      <c r="A48" s="1335"/>
      <c r="B48" s="1336" t="s">
        <v>972</v>
      </c>
      <c r="C48" s="1389">
        <f>'2.Kiadások_részletes '!D10-C49</f>
        <v>1190</v>
      </c>
      <c r="D48" s="1390">
        <f>'2.Kiadások_részletes '!E10-D49</f>
        <v>1105</v>
      </c>
      <c r="E48" s="1390">
        <f>'2.Kiadások_részletes '!F10-E49</f>
        <v>1103</v>
      </c>
      <c r="F48" s="1391">
        <f t="shared" ref="F48:F74" si="29">E48/D48%</f>
        <v>99.819004524886878</v>
      </c>
      <c r="G48" s="1360"/>
      <c r="H48" s="1358"/>
      <c r="I48" s="1390"/>
      <c r="J48" s="1388"/>
      <c r="K48" s="1389">
        <f t="shared" ref="K48:K74" si="30">C48+G48</f>
        <v>1190</v>
      </c>
      <c r="L48" s="1390">
        <f t="shared" ref="L48:L74" si="31">D48+H48</f>
        <v>1105</v>
      </c>
      <c r="M48" s="1390">
        <f t="shared" ref="M48:M74" si="32">E48+I48</f>
        <v>1103</v>
      </c>
      <c r="N48" s="1391">
        <f>M48/L48%</f>
        <v>99.819004524886878</v>
      </c>
    </row>
    <row r="49" spans="1:14" ht="23.25" x14ac:dyDescent="0.35">
      <c r="A49" s="1335"/>
      <c r="B49" s="1354" t="s">
        <v>678</v>
      </c>
      <c r="C49" s="1389">
        <v>1900</v>
      </c>
      <c r="D49" s="1390">
        <v>1901</v>
      </c>
      <c r="E49" s="1390">
        <v>1902</v>
      </c>
      <c r="F49" s="1391">
        <f t="shared" si="29"/>
        <v>100.05260389268805</v>
      </c>
      <c r="G49" s="1360"/>
      <c r="H49" s="1358"/>
      <c r="I49" s="1390"/>
      <c r="J49" s="1388"/>
      <c r="K49" s="1389">
        <f t="shared" si="30"/>
        <v>1900</v>
      </c>
      <c r="L49" s="1390">
        <f t="shared" si="31"/>
        <v>1901</v>
      </c>
      <c r="M49" s="1390">
        <f t="shared" si="32"/>
        <v>1902</v>
      </c>
      <c r="N49" s="1391">
        <f>M49/L49%</f>
        <v>100.05260389268805</v>
      </c>
    </row>
    <row r="50" spans="1:14" ht="23.25" x14ac:dyDescent="0.35">
      <c r="A50" s="1337" t="s">
        <v>84</v>
      </c>
      <c r="B50" s="1355" t="s">
        <v>687</v>
      </c>
      <c r="C50" s="1362">
        <f>SUM(C48:C49)</f>
        <v>3090</v>
      </c>
      <c r="D50" s="1363">
        <f>SUM(D48:D49)</f>
        <v>3006</v>
      </c>
      <c r="E50" s="1363">
        <f>SUM(E48:E49)</f>
        <v>3005</v>
      </c>
      <c r="F50" s="1364">
        <f t="shared" si="29"/>
        <v>99.966733200266134</v>
      </c>
      <c r="G50" s="1365"/>
      <c r="H50" s="1363"/>
      <c r="I50" s="1722"/>
      <c r="J50" s="1388"/>
      <c r="K50" s="1362">
        <f t="shared" si="30"/>
        <v>3090</v>
      </c>
      <c r="L50" s="1363">
        <f t="shared" si="31"/>
        <v>3006</v>
      </c>
      <c r="M50" s="1363">
        <f t="shared" si="32"/>
        <v>3005</v>
      </c>
      <c r="N50" s="1364">
        <f>M50/L50%</f>
        <v>99.966733200266134</v>
      </c>
    </row>
    <row r="51" spans="1:14" ht="46.5" x14ac:dyDescent="0.35">
      <c r="A51" s="1335" t="s">
        <v>290</v>
      </c>
      <c r="B51" s="1344" t="s">
        <v>291</v>
      </c>
      <c r="C51" s="1357">
        <f>'2.Kiadások_részletes '!D12-G51</f>
        <v>8997</v>
      </c>
      <c r="D51" s="1358">
        <f>'2.Kiadások_részletes '!E12-H51</f>
        <v>10495</v>
      </c>
      <c r="E51" s="1358">
        <f>'2.Kiadások_részletes '!F12-I51</f>
        <v>9106</v>
      </c>
      <c r="F51" s="1359">
        <f t="shared" si="29"/>
        <v>86.765126250595515</v>
      </c>
      <c r="G51" s="1360">
        <v>207</v>
      </c>
      <c r="H51" s="1358">
        <f>G51</f>
        <v>207</v>
      </c>
      <c r="I51" s="1390">
        <v>207</v>
      </c>
      <c r="J51" s="1388">
        <f>I51/H51%</f>
        <v>100.00000000000001</v>
      </c>
      <c r="K51" s="1357">
        <f t="shared" si="30"/>
        <v>9204</v>
      </c>
      <c r="L51" s="1358">
        <f t="shared" si="31"/>
        <v>10702</v>
      </c>
      <c r="M51" s="1358">
        <f t="shared" si="32"/>
        <v>9313</v>
      </c>
      <c r="N51" s="1359">
        <f t="shared" ref="N51:N74" si="33">M51/L51%</f>
        <v>87.02111754812185</v>
      </c>
    </row>
    <row r="52" spans="1:14" ht="23.25" x14ac:dyDescent="0.35">
      <c r="A52" s="1335" t="s">
        <v>292</v>
      </c>
      <c r="B52" s="1344" t="s">
        <v>293</v>
      </c>
      <c r="C52" s="1357">
        <f>'2.Kiadások_részletes '!D13</f>
        <v>185780.70800000001</v>
      </c>
      <c r="D52" s="1358">
        <f>'2.Kiadások_részletes '!E13</f>
        <v>247002.70800000001</v>
      </c>
      <c r="E52" s="1358">
        <f>'2.Kiadások_részletes '!F13</f>
        <v>209272</v>
      </c>
      <c r="F52" s="1359">
        <f t="shared" si="29"/>
        <v>84.724577189655747</v>
      </c>
      <c r="G52" s="1360"/>
      <c r="H52" s="1358"/>
      <c r="I52" s="1358"/>
      <c r="J52" s="1361"/>
      <c r="K52" s="1357">
        <f t="shared" si="30"/>
        <v>185780.70800000001</v>
      </c>
      <c r="L52" s="1358">
        <f t="shared" si="31"/>
        <v>247002.70800000001</v>
      </c>
      <c r="M52" s="1358">
        <f t="shared" si="32"/>
        <v>209272</v>
      </c>
      <c r="N52" s="1359">
        <f t="shared" si="33"/>
        <v>84.724577189655747</v>
      </c>
    </row>
    <row r="53" spans="1:14" ht="23.25" x14ac:dyDescent="0.35">
      <c r="A53" s="1335" t="s">
        <v>294</v>
      </c>
      <c r="B53" s="1347" t="s">
        <v>39</v>
      </c>
      <c r="C53" s="1357">
        <f>'2.Kiadások_részletes '!D14</f>
        <v>15566</v>
      </c>
      <c r="D53" s="1358">
        <f>'2.Kiadások_részletes '!E14</f>
        <v>15893</v>
      </c>
      <c r="E53" s="1358">
        <f>'2.Kiadások_részletes '!F14</f>
        <v>11724</v>
      </c>
      <c r="F53" s="1359">
        <f t="shared" si="29"/>
        <v>73.768325677971433</v>
      </c>
      <c r="G53" s="1360"/>
      <c r="H53" s="1358"/>
      <c r="I53" s="1358"/>
      <c r="J53" s="1361"/>
      <c r="K53" s="1357">
        <f t="shared" si="30"/>
        <v>15566</v>
      </c>
      <c r="L53" s="1358">
        <f t="shared" si="31"/>
        <v>15893</v>
      </c>
      <c r="M53" s="1358">
        <f t="shared" si="32"/>
        <v>11724</v>
      </c>
      <c r="N53" s="1359">
        <f t="shared" si="33"/>
        <v>73.768325677971433</v>
      </c>
    </row>
    <row r="54" spans="1:14" ht="23.25" x14ac:dyDescent="0.35">
      <c r="A54" s="1335" t="s">
        <v>120</v>
      </c>
      <c r="B54" s="1347" t="s">
        <v>121</v>
      </c>
      <c r="C54" s="1357"/>
      <c r="D54" s="1358">
        <f>'2.Kiadások_részletes '!E15</f>
        <v>2551</v>
      </c>
      <c r="E54" s="1358">
        <f>'2.Kiadások_részletes '!F15</f>
        <v>2551</v>
      </c>
      <c r="F54" s="1359">
        <f t="shared" si="29"/>
        <v>100</v>
      </c>
      <c r="G54" s="1360"/>
      <c r="H54" s="1358"/>
      <c r="I54" s="1358"/>
      <c r="J54" s="1361"/>
      <c r="K54" s="1357">
        <f t="shared" si="30"/>
        <v>0</v>
      </c>
      <c r="L54" s="1358">
        <f t="shared" si="31"/>
        <v>2551</v>
      </c>
      <c r="M54" s="1358">
        <f t="shared" si="32"/>
        <v>2551</v>
      </c>
      <c r="N54" s="1359">
        <f t="shared" si="33"/>
        <v>100</v>
      </c>
    </row>
    <row r="55" spans="1:14" ht="46.5" x14ac:dyDescent="0.35">
      <c r="A55" s="1335" t="s">
        <v>295</v>
      </c>
      <c r="B55" s="1347" t="s">
        <v>296</v>
      </c>
      <c r="C55" s="1357">
        <f>'2.Kiadások_részletes '!D16</f>
        <v>107182</v>
      </c>
      <c r="D55" s="1358">
        <f>'2.Kiadások_részletes '!E16</f>
        <v>129228</v>
      </c>
      <c r="E55" s="1358">
        <f>'2.Kiadások_részletes '!F16</f>
        <v>128443</v>
      </c>
      <c r="F55" s="1359">
        <f t="shared" si="29"/>
        <v>99.39254650694896</v>
      </c>
      <c r="G55" s="1360"/>
      <c r="H55" s="1358"/>
      <c r="I55" s="1358"/>
      <c r="J55" s="1361"/>
      <c r="K55" s="1357">
        <f t="shared" si="30"/>
        <v>107182</v>
      </c>
      <c r="L55" s="1358">
        <f t="shared" si="31"/>
        <v>129228</v>
      </c>
      <c r="M55" s="1358">
        <f t="shared" si="32"/>
        <v>128443</v>
      </c>
      <c r="N55" s="1359">
        <f t="shared" si="33"/>
        <v>99.39254650694896</v>
      </c>
    </row>
    <row r="56" spans="1:14" ht="46.5" x14ac:dyDescent="0.35">
      <c r="A56" s="1335" t="s">
        <v>298</v>
      </c>
      <c r="B56" s="1347" t="s">
        <v>297</v>
      </c>
      <c r="C56" s="1357">
        <f>'2.Kiadások_részletes '!D17</f>
        <v>10706</v>
      </c>
      <c r="D56" s="1358">
        <f>'2.Kiadások_részletes '!E17</f>
        <v>15780</v>
      </c>
      <c r="E56" s="1358">
        <f>'2.Kiadások_részletes '!F17</f>
        <v>14515</v>
      </c>
      <c r="F56" s="1359">
        <f t="shared" si="29"/>
        <v>91.983523447401765</v>
      </c>
      <c r="G56" s="1360"/>
      <c r="H56" s="1358"/>
      <c r="I56" s="1358"/>
      <c r="J56" s="1361"/>
      <c r="K56" s="1357">
        <f t="shared" si="30"/>
        <v>10706</v>
      </c>
      <c r="L56" s="1358">
        <f t="shared" si="31"/>
        <v>15780</v>
      </c>
      <c r="M56" s="1358">
        <f t="shared" si="32"/>
        <v>14515</v>
      </c>
      <c r="N56" s="1359">
        <f t="shared" si="33"/>
        <v>91.983523447401765</v>
      </c>
    </row>
    <row r="57" spans="1:14" ht="23.25" x14ac:dyDescent="0.35">
      <c r="A57" s="1335" t="s">
        <v>785</v>
      </c>
      <c r="B57" s="1347" t="s">
        <v>299</v>
      </c>
      <c r="C57" s="1357">
        <f>'19. Tartalékok (K512)'!D26</f>
        <v>17100</v>
      </c>
      <c r="D57" s="1358">
        <f>'19. Tartalékok (K512)'!E26</f>
        <v>27426</v>
      </c>
      <c r="E57" s="1358">
        <v>0</v>
      </c>
      <c r="F57" s="1359">
        <f t="shared" si="29"/>
        <v>0</v>
      </c>
      <c r="G57" s="1360"/>
      <c r="H57" s="1358"/>
      <c r="I57" s="1358"/>
      <c r="J57" s="1361"/>
      <c r="K57" s="1357">
        <f t="shared" si="30"/>
        <v>17100</v>
      </c>
      <c r="L57" s="1358">
        <f t="shared" si="31"/>
        <v>27426</v>
      </c>
      <c r="M57" s="1358">
        <f t="shared" si="32"/>
        <v>0</v>
      </c>
      <c r="N57" s="1359">
        <f t="shared" si="33"/>
        <v>0</v>
      </c>
    </row>
    <row r="58" spans="1:14" ht="23.25" x14ac:dyDescent="0.35">
      <c r="A58" s="1335" t="s">
        <v>785</v>
      </c>
      <c r="B58" s="1347" t="s">
        <v>155</v>
      </c>
      <c r="C58" s="1357">
        <f>'19. Tartalékok (K512)'!D25</f>
        <v>1679</v>
      </c>
      <c r="D58" s="1358">
        <f>'19. Tartalékok (K512)'!E25</f>
        <v>0</v>
      </c>
      <c r="E58" s="1358">
        <v>0</v>
      </c>
      <c r="F58" s="1359"/>
      <c r="G58" s="1360"/>
      <c r="H58" s="1358"/>
      <c r="I58" s="1358"/>
      <c r="J58" s="1361"/>
      <c r="K58" s="1357">
        <f t="shared" si="30"/>
        <v>1679</v>
      </c>
      <c r="L58" s="1358">
        <f t="shared" si="31"/>
        <v>0</v>
      </c>
      <c r="M58" s="1358">
        <f t="shared" si="32"/>
        <v>0</v>
      </c>
      <c r="N58" s="1359"/>
    </row>
    <row r="59" spans="1:14" ht="23.25" x14ac:dyDescent="0.35">
      <c r="A59" s="1335" t="s">
        <v>785</v>
      </c>
      <c r="B59" s="1347" t="s">
        <v>300</v>
      </c>
      <c r="C59" s="1357">
        <f>'19. Tartalékok (K512)'!D21</f>
        <v>179675</v>
      </c>
      <c r="D59" s="1358">
        <f>'19. Tartalékok (K512)'!E21</f>
        <v>84168</v>
      </c>
      <c r="E59" s="1358">
        <v>0</v>
      </c>
      <c r="F59" s="1359">
        <f t="shared" si="29"/>
        <v>0</v>
      </c>
      <c r="G59" s="1360"/>
      <c r="H59" s="1358"/>
      <c r="I59" s="1358"/>
      <c r="J59" s="1361"/>
      <c r="K59" s="1357">
        <f t="shared" si="30"/>
        <v>179675</v>
      </c>
      <c r="L59" s="1358">
        <f t="shared" si="31"/>
        <v>84168</v>
      </c>
      <c r="M59" s="1358">
        <f t="shared" si="32"/>
        <v>0</v>
      </c>
      <c r="N59" s="1359">
        <f t="shared" si="33"/>
        <v>0</v>
      </c>
    </row>
    <row r="60" spans="1:14" ht="23.25" x14ac:dyDescent="0.3">
      <c r="A60" s="1335" t="s">
        <v>301</v>
      </c>
      <c r="B60" s="1347" t="s">
        <v>302</v>
      </c>
      <c r="C60" s="1362">
        <f>SUM(C55:C59)</f>
        <v>316342</v>
      </c>
      <c r="D60" s="1363">
        <f>SUM(D54:D59)</f>
        <v>259153</v>
      </c>
      <c r="E60" s="1363">
        <f>SUM(E54:E59)</f>
        <v>145509</v>
      </c>
      <c r="F60" s="1364">
        <f t="shared" si="29"/>
        <v>56.147912623045066</v>
      </c>
      <c r="G60" s="1365"/>
      <c r="H60" s="1363"/>
      <c r="I60" s="1363"/>
      <c r="J60" s="1366"/>
      <c r="K60" s="1362">
        <f t="shared" si="30"/>
        <v>316342</v>
      </c>
      <c r="L60" s="1363">
        <f t="shared" si="31"/>
        <v>259153</v>
      </c>
      <c r="M60" s="1363">
        <f t="shared" si="32"/>
        <v>145509</v>
      </c>
      <c r="N60" s="1364">
        <f t="shared" si="33"/>
        <v>56.147912623045066</v>
      </c>
    </row>
    <row r="61" spans="1:14" ht="23.25" x14ac:dyDescent="0.35">
      <c r="A61" s="1335" t="s">
        <v>303</v>
      </c>
      <c r="B61" s="1347" t="s">
        <v>446</v>
      </c>
      <c r="C61" s="1357">
        <f>'2.Kiadások_részletes '!D21</f>
        <v>265664</v>
      </c>
      <c r="D61" s="1358">
        <f>'2.Kiadások_részletes '!E21</f>
        <v>300269</v>
      </c>
      <c r="E61" s="1358">
        <f>'2.Kiadások_részletes '!F21</f>
        <v>234643</v>
      </c>
      <c r="F61" s="1359">
        <f t="shared" si="29"/>
        <v>78.144263976634278</v>
      </c>
      <c r="G61" s="1360"/>
      <c r="H61" s="1358"/>
      <c r="I61" s="1358"/>
      <c r="J61" s="1361"/>
      <c r="K61" s="1357">
        <f t="shared" si="30"/>
        <v>265664</v>
      </c>
      <c r="L61" s="1358">
        <f t="shared" si="31"/>
        <v>300269</v>
      </c>
      <c r="M61" s="1358">
        <f t="shared" si="32"/>
        <v>234643</v>
      </c>
      <c r="N61" s="1359">
        <f t="shared" si="33"/>
        <v>78.144263976634278</v>
      </c>
    </row>
    <row r="62" spans="1:14" ht="23.25" x14ac:dyDescent="0.35">
      <c r="A62" s="1335" t="s">
        <v>304</v>
      </c>
      <c r="B62" s="1347" t="s">
        <v>305</v>
      </c>
      <c r="C62" s="1357">
        <f>'2.Kiadások_részletes '!D22</f>
        <v>26619</v>
      </c>
      <c r="D62" s="1358">
        <f>'2.Kiadások_részletes '!E22</f>
        <v>129254</v>
      </c>
      <c r="E62" s="1358">
        <f>'2.Kiadások_részletes '!F22</f>
        <v>92943</v>
      </c>
      <c r="F62" s="1359">
        <f t="shared" si="29"/>
        <v>71.907252386773337</v>
      </c>
      <c r="G62" s="1360"/>
      <c r="H62" s="1358"/>
      <c r="I62" s="1358"/>
      <c r="J62" s="1361"/>
      <c r="K62" s="1357">
        <f t="shared" si="30"/>
        <v>26619</v>
      </c>
      <c r="L62" s="1358">
        <f t="shared" si="31"/>
        <v>129254</v>
      </c>
      <c r="M62" s="1358">
        <f t="shared" si="32"/>
        <v>92943</v>
      </c>
      <c r="N62" s="1359">
        <f t="shared" si="33"/>
        <v>71.907252386773337</v>
      </c>
    </row>
    <row r="63" spans="1:14" ht="46.5" x14ac:dyDescent="0.35">
      <c r="A63" s="1335" t="s">
        <v>251</v>
      </c>
      <c r="B63" s="1347" t="s">
        <v>154</v>
      </c>
      <c r="C63" s="1357">
        <f>'2.Kiadások_részletes '!D23</f>
        <v>0</v>
      </c>
      <c r="D63" s="1358">
        <f>'2.Kiadások_részletes '!E23</f>
        <v>0</v>
      </c>
      <c r="E63" s="1358">
        <f>'2.Kiadások_részletes '!F23</f>
        <v>0</v>
      </c>
      <c r="F63" s="1359"/>
      <c r="G63" s="1360"/>
      <c r="H63" s="1358"/>
      <c r="I63" s="1358"/>
      <c r="J63" s="1361"/>
      <c r="K63" s="1357">
        <f t="shared" si="30"/>
        <v>0</v>
      </c>
      <c r="L63" s="1358">
        <f t="shared" si="31"/>
        <v>0</v>
      </c>
      <c r="M63" s="1358">
        <f t="shared" si="32"/>
        <v>0</v>
      </c>
      <c r="N63" s="1359"/>
    </row>
    <row r="64" spans="1:14" ht="46.5" x14ac:dyDescent="0.35">
      <c r="A64" s="1335" t="s">
        <v>306</v>
      </c>
      <c r="B64" s="1347" t="s">
        <v>307</v>
      </c>
      <c r="C64" s="1357">
        <f>'2.Kiadások_részletes '!D24</f>
        <v>0</v>
      </c>
      <c r="D64" s="1358">
        <f>'2.Kiadások_részletes '!E24</f>
        <v>0</v>
      </c>
      <c r="E64" s="1358">
        <f>'2.Kiadások_részletes '!F24</f>
        <v>0</v>
      </c>
      <c r="F64" s="1359"/>
      <c r="G64" s="1360"/>
      <c r="H64" s="1358"/>
      <c r="I64" s="1358"/>
      <c r="J64" s="1361"/>
      <c r="K64" s="1357">
        <f t="shared" si="30"/>
        <v>0</v>
      </c>
      <c r="L64" s="1358">
        <f t="shared" si="31"/>
        <v>0</v>
      </c>
      <c r="M64" s="1358">
        <f t="shared" si="32"/>
        <v>0</v>
      </c>
      <c r="N64" s="1359"/>
    </row>
    <row r="65" spans="1:14" ht="23.25" x14ac:dyDescent="0.35">
      <c r="A65" s="1335" t="s">
        <v>308</v>
      </c>
      <c r="B65" s="1347" t="s">
        <v>309</v>
      </c>
      <c r="C65" s="1357">
        <f>SUM(C63:C64)</f>
        <v>0</v>
      </c>
      <c r="D65" s="1358">
        <f>SUM(D63:D64)</f>
        <v>0</v>
      </c>
      <c r="E65" s="1358">
        <f>SUM(E63:E64)</f>
        <v>0</v>
      </c>
      <c r="F65" s="1359"/>
      <c r="G65" s="1360">
        <f>SUM(G63:G64)</f>
        <v>0</v>
      </c>
      <c r="H65" s="1358"/>
      <c r="I65" s="1358"/>
      <c r="J65" s="1361"/>
      <c r="K65" s="1357">
        <f t="shared" si="30"/>
        <v>0</v>
      </c>
      <c r="L65" s="1358">
        <f t="shared" si="31"/>
        <v>0</v>
      </c>
      <c r="M65" s="1358">
        <f t="shared" si="32"/>
        <v>0</v>
      </c>
      <c r="N65" s="1359"/>
    </row>
    <row r="66" spans="1:14" ht="22.5" x14ac:dyDescent="0.3">
      <c r="A66" s="1338"/>
      <c r="B66" s="1356" t="s">
        <v>324</v>
      </c>
      <c r="C66" s="1367">
        <f>SUM(C47,C51:C53,C60,C50)</f>
        <v>577001.70799999998</v>
      </c>
      <c r="D66" s="1368">
        <f>SUM(D47,D51:D53,D60,D50)</f>
        <v>582453.70799999998</v>
      </c>
      <c r="E66" s="1368">
        <f>SUM(E47,E51:E53,E60,E50)</f>
        <v>420804</v>
      </c>
      <c r="F66" s="1369">
        <f t="shared" si="29"/>
        <v>72.24677158377709</v>
      </c>
      <c r="G66" s="1370">
        <f>SUM(G47,G51:G53,G60,G50)</f>
        <v>1251</v>
      </c>
      <c r="H66" s="1368">
        <f>SUM(H47,H51:H53,H60,H50)</f>
        <v>1251</v>
      </c>
      <c r="I66" s="1368">
        <f>SUM(I47,I51:I53,I60,I50)</f>
        <v>1251</v>
      </c>
      <c r="J66" s="1369">
        <f t="shared" ref="J66:J68" si="34">I66/H66%</f>
        <v>100</v>
      </c>
      <c r="K66" s="1367">
        <f t="shared" si="30"/>
        <v>578252.70799999998</v>
      </c>
      <c r="L66" s="1368">
        <f t="shared" si="31"/>
        <v>583704.70799999998</v>
      </c>
      <c r="M66" s="1368">
        <f>E66+I66</f>
        <v>422055</v>
      </c>
      <c r="N66" s="1369">
        <f t="shared" si="33"/>
        <v>72.306252496424946</v>
      </c>
    </row>
    <row r="67" spans="1:14" ht="22.5" x14ac:dyDescent="0.3">
      <c r="A67" s="1338"/>
      <c r="B67" s="1356" t="s">
        <v>325</v>
      </c>
      <c r="C67" s="1367">
        <f>SUM(C61:C62,C65)</f>
        <v>292283</v>
      </c>
      <c r="D67" s="1368">
        <f>SUM(D61:D62,D65)</f>
        <v>429523</v>
      </c>
      <c r="E67" s="1368">
        <f>SUM(E61:E62,E65)</f>
        <v>327586</v>
      </c>
      <c r="F67" s="1369">
        <f t="shared" si="29"/>
        <v>76.267394295532497</v>
      </c>
      <c r="G67" s="1370">
        <v>0</v>
      </c>
      <c r="H67" s="1368">
        <v>0</v>
      </c>
      <c r="I67" s="1368">
        <v>0</v>
      </c>
      <c r="J67" s="1369"/>
      <c r="K67" s="1367">
        <f t="shared" si="30"/>
        <v>292283</v>
      </c>
      <c r="L67" s="1368">
        <f t="shared" si="31"/>
        <v>429523</v>
      </c>
      <c r="M67" s="1368">
        <f t="shared" si="32"/>
        <v>327586</v>
      </c>
      <c r="N67" s="1369">
        <f t="shared" si="33"/>
        <v>76.267394295532497</v>
      </c>
    </row>
    <row r="68" spans="1:14" ht="22.5" x14ac:dyDescent="0.3">
      <c r="A68" s="1328" t="s">
        <v>310</v>
      </c>
      <c r="B68" s="1350" t="s">
        <v>311</v>
      </c>
      <c r="C68" s="1372">
        <f>C66+C67</f>
        <v>869284.70799999998</v>
      </c>
      <c r="D68" s="1373">
        <f>D66+D67</f>
        <v>1011976.708</v>
      </c>
      <c r="E68" s="1373">
        <f>E66+E67</f>
        <v>748390</v>
      </c>
      <c r="F68" s="1374">
        <f t="shared" si="29"/>
        <v>73.953283122401672</v>
      </c>
      <c r="G68" s="1375">
        <f>SUM(G66:G67)</f>
        <v>1251</v>
      </c>
      <c r="H68" s="1373">
        <f>SUM(H66:H67)</f>
        <v>1251</v>
      </c>
      <c r="I68" s="1373">
        <f>SUM(I66:I67)</f>
        <v>1251</v>
      </c>
      <c r="J68" s="1374">
        <f t="shared" si="34"/>
        <v>100</v>
      </c>
      <c r="K68" s="1372">
        <f t="shared" si="30"/>
        <v>870535.70799999998</v>
      </c>
      <c r="L68" s="1373">
        <f t="shared" si="31"/>
        <v>1013227.708</v>
      </c>
      <c r="M68" s="1373">
        <f>E68+I68</f>
        <v>749641</v>
      </c>
      <c r="N68" s="1374">
        <f t="shared" si="33"/>
        <v>73.98544217466268</v>
      </c>
    </row>
    <row r="69" spans="1:14" ht="23.25" x14ac:dyDescent="0.3">
      <c r="A69" s="1330" t="s">
        <v>312</v>
      </c>
      <c r="B69" s="1347" t="s">
        <v>252</v>
      </c>
      <c r="C69" s="1392">
        <f>'2.Kiadások_részletes '!D30</f>
        <v>1320</v>
      </c>
      <c r="D69" s="1393">
        <f>'2.Kiadások_részletes '!E30</f>
        <v>1320</v>
      </c>
      <c r="E69" s="1393">
        <f>'2.Kiadások_részletes '!F30</f>
        <v>1320</v>
      </c>
      <c r="F69" s="1394">
        <f t="shared" si="29"/>
        <v>100</v>
      </c>
      <c r="G69" s="1395"/>
      <c r="H69" s="1393"/>
      <c r="I69" s="1393"/>
      <c r="J69" s="1396"/>
      <c r="K69" s="1392">
        <f t="shared" si="30"/>
        <v>1320</v>
      </c>
      <c r="L69" s="1393">
        <f t="shared" si="31"/>
        <v>1320</v>
      </c>
      <c r="M69" s="1393">
        <f t="shared" si="32"/>
        <v>1320</v>
      </c>
      <c r="N69" s="1394">
        <f t="shared" si="33"/>
        <v>100</v>
      </c>
    </row>
    <row r="70" spans="1:14" ht="23.25" x14ac:dyDescent="0.3">
      <c r="A70" s="1330" t="s">
        <v>314</v>
      </c>
      <c r="B70" s="1347" t="s">
        <v>315</v>
      </c>
      <c r="C70" s="1392"/>
      <c r="D70" s="1393">
        <f>'2.Kiadások_részletes '!E31</f>
        <v>350000</v>
      </c>
      <c r="E70" s="1393">
        <f>'2.Kiadások_részletes '!F31</f>
        <v>350000</v>
      </c>
      <c r="F70" s="1394">
        <f t="shared" si="29"/>
        <v>100</v>
      </c>
      <c r="G70" s="1395"/>
      <c r="H70" s="1393"/>
      <c r="I70" s="1393"/>
      <c r="J70" s="1396"/>
      <c r="K70" s="1392">
        <f t="shared" si="30"/>
        <v>0</v>
      </c>
      <c r="L70" s="1393">
        <f t="shared" si="31"/>
        <v>350000</v>
      </c>
      <c r="M70" s="1393">
        <f t="shared" si="32"/>
        <v>350000</v>
      </c>
      <c r="N70" s="1394">
        <f t="shared" si="33"/>
        <v>100</v>
      </c>
    </row>
    <row r="71" spans="1:14" ht="23.25" x14ac:dyDescent="0.3">
      <c r="A71" s="1330" t="s">
        <v>730</v>
      </c>
      <c r="B71" s="1347" t="s">
        <v>833</v>
      </c>
      <c r="C71" s="930">
        <f>'2.Kiadások_részletes '!D32</f>
        <v>20599</v>
      </c>
      <c r="D71" s="525">
        <f>'2.Kiadások_részletes '!E32</f>
        <v>20599</v>
      </c>
      <c r="E71" s="525">
        <f>'2.Kiadások_részletes '!F32</f>
        <v>19955</v>
      </c>
      <c r="F71" s="1397">
        <f t="shared" si="29"/>
        <v>96.87363464245837</v>
      </c>
      <c r="G71" s="1395"/>
      <c r="H71" s="1393"/>
      <c r="I71" s="1393"/>
      <c r="J71" s="1396"/>
      <c r="K71" s="930">
        <f t="shared" si="30"/>
        <v>20599</v>
      </c>
      <c r="L71" s="525">
        <f t="shared" si="31"/>
        <v>20599</v>
      </c>
      <c r="M71" s="525">
        <f t="shared" si="32"/>
        <v>19955</v>
      </c>
      <c r="N71" s="1397">
        <f t="shared" si="33"/>
        <v>96.87363464245837</v>
      </c>
    </row>
    <row r="72" spans="1:14" ht="23.25" x14ac:dyDescent="0.3">
      <c r="A72" s="1330" t="s">
        <v>326</v>
      </c>
      <c r="B72" s="1347" t="s">
        <v>327</v>
      </c>
      <c r="C72" s="930">
        <f>'2.Kiadások_részletes '!D33</f>
        <v>930476.98200000008</v>
      </c>
      <c r="D72" s="525">
        <f>'2.Kiadások_részletes '!E33</f>
        <v>944005.98200000008</v>
      </c>
      <c r="E72" s="525">
        <f>'2.Kiadások_részletes '!F33</f>
        <v>853673</v>
      </c>
      <c r="F72" s="1397">
        <f t="shared" si="29"/>
        <v>90.430888816126156</v>
      </c>
      <c r="G72" s="924"/>
      <c r="H72" s="525"/>
      <c r="I72" s="525"/>
      <c r="J72" s="918"/>
      <c r="K72" s="930">
        <f t="shared" si="30"/>
        <v>930476.98200000008</v>
      </c>
      <c r="L72" s="525">
        <f t="shared" si="31"/>
        <v>944005.98200000008</v>
      </c>
      <c r="M72" s="525">
        <f t="shared" si="32"/>
        <v>853673</v>
      </c>
      <c r="N72" s="1397">
        <f t="shared" si="33"/>
        <v>90.430888816126156</v>
      </c>
    </row>
    <row r="73" spans="1:14" ht="22.5" x14ac:dyDescent="0.3">
      <c r="A73" s="1331" t="s">
        <v>322</v>
      </c>
      <c r="B73" s="1352" t="s">
        <v>42</v>
      </c>
      <c r="C73" s="1372">
        <f>SUM(C69:C72)</f>
        <v>952395.98200000008</v>
      </c>
      <c r="D73" s="1373">
        <f>SUM(D69:D72)</f>
        <v>1315924.9820000001</v>
      </c>
      <c r="E73" s="1373">
        <f>SUM(E69:E72)</f>
        <v>1224948</v>
      </c>
      <c r="F73" s="1374">
        <f t="shared" si="29"/>
        <v>93.08646136790189</v>
      </c>
      <c r="G73" s="1375">
        <f>SUM(G69:G72)</f>
        <v>0</v>
      </c>
      <c r="H73" s="1373">
        <f>SUM(H69:H72)</f>
        <v>0</v>
      </c>
      <c r="I73" s="1373">
        <f>SUM(I69:I72)</f>
        <v>0</v>
      </c>
      <c r="J73" s="1376"/>
      <c r="K73" s="1372">
        <f t="shared" si="30"/>
        <v>952395.98200000008</v>
      </c>
      <c r="L73" s="1373">
        <f t="shared" si="31"/>
        <v>1315924.9820000001</v>
      </c>
      <c r="M73" s="1373">
        <f t="shared" si="32"/>
        <v>1224948</v>
      </c>
      <c r="N73" s="1374">
        <f t="shared" si="33"/>
        <v>93.08646136790189</v>
      </c>
    </row>
    <row r="74" spans="1:14" ht="23.25" thickBot="1" x14ac:dyDescent="0.35">
      <c r="A74" s="1339"/>
      <c r="B74" s="1353" t="s">
        <v>346</v>
      </c>
      <c r="C74" s="1383">
        <f>SUM(C68,C73)</f>
        <v>1821680.69</v>
      </c>
      <c r="D74" s="1384">
        <f>SUM(D68,D73)</f>
        <v>2327901.69</v>
      </c>
      <c r="E74" s="1384">
        <f>SUM(E68,E73)</f>
        <v>1973338</v>
      </c>
      <c r="F74" s="1385">
        <f t="shared" si="29"/>
        <v>84.768957747524126</v>
      </c>
      <c r="G74" s="1386">
        <f>SUM(G68,G73)</f>
        <v>1251</v>
      </c>
      <c r="H74" s="1384">
        <f>SUM(H68,H73)</f>
        <v>1251</v>
      </c>
      <c r="I74" s="1384">
        <f>SUM(I68,I73)</f>
        <v>1251</v>
      </c>
      <c r="J74" s="1385">
        <f t="shared" ref="J74" si="35">I74/H74%</f>
        <v>100</v>
      </c>
      <c r="K74" s="1383">
        <f t="shared" si="30"/>
        <v>1822931.69</v>
      </c>
      <c r="L74" s="1384">
        <f t="shared" si="31"/>
        <v>2329152.69</v>
      </c>
      <c r="M74" s="1384">
        <f t="shared" si="32"/>
        <v>1974589</v>
      </c>
      <c r="N74" s="1385">
        <f t="shared" si="33"/>
        <v>84.777138419379455</v>
      </c>
    </row>
    <row r="76" spans="1:14" ht="15" customHeight="1" x14ac:dyDescent="0.3">
      <c r="K76" s="1340"/>
      <c r="L76" s="1340"/>
      <c r="M76" s="1340"/>
      <c r="N76" s="1340"/>
    </row>
  </sheetData>
  <mergeCells count="13">
    <mergeCell ref="A1:N1"/>
    <mergeCell ref="A2:N2"/>
    <mergeCell ref="A3:N3"/>
    <mergeCell ref="A45:A46"/>
    <mergeCell ref="B45:B46"/>
    <mergeCell ref="C45:F45"/>
    <mergeCell ref="G45:J45"/>
    <mergeCell ref="K45:N45"/>
    <mergeCell ref="C6:F6"/>
    <mergeCell ref="G6:J6"/>
    <mergeCell ref="K6:N6"/>
    <mergeCell ref="A6:A7"/>
    <mergeCell ref="B6:B7"/>
  </mergeCells>
  <printOptions horizontalCentered="1"/>
  <pageMargins left="0" right="0" top="0.19685039370078741" bottom="0.19685039370078741" header="0.31496062992125984" footer="0.31496062992125984"/>
  <pageSetup paperSize="9" scale="35"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S73"/>
  <sheetViews>
    <sheetView view="pageBreakPreview" zoomScale="60" workbookViewId="0">
      <selection activeCell="A2" sqref="A2:O2"/>
    </sheetView>
  </sheetViews>
  <sheetFormatPr defaultRowHeight="15" customHeight="1" x14ac:dyDescent="0.2"/>
  <cols>
    <col min="1" max="1" width="9.85546875" style="97" customWidth="1"/>
    <col min="2" max="2" width="78" style="97" customWidth="1"/>
    <col min="3" max="3" width="20.42578125" style="97" customWidth="1"/>
    <col min="4" max="4" width="18" style="97" customWidth="1"/>
    <col min="5" max="5" width="17.5703125" style="97" customWidth="1"/>
    <col min="6" max="6" width="15.85546875" style="97" bestFit="1" customWidth="1"/>
    <col min="7" max="7" width="16.5703125" style="97" customWidth="1"/>
    <col min="8" max="8" width="17.140625" style="97" customWidth="1"/>
    <col min="9" max="9" width="17.5703125" style="97" customWidth="1"/>
    <col min="10" max="10" width="15.7109375" style="97" customWidth="1"/>
    <col min="11" max="11" width="18.5703125" style="97" customWidth="1"/>
    <col min="12" max="12" width="18.28515625" style="97" customWidth="1"/>
    <col min="13" max="13" width="18.7109375" style="97" customWidth="1"/>
    <col min="14" max="14" width="13.85546875" style="97" customWidth="1"/>
    <col min="15" max="15" width="18.85546875" style="97" customWidth="1"/>
    <col min="16" max="16" width="18.140625" style="97" customWidth="1"/>
    <col min="17" max="17" width="18" style="97" customWidth="1"/>
    <col min="18" max="18" width="15" style="97" customWidth="1"/>
    <col min="19" max="16384" width="9.140625" style="97"/>
  </cols>
  <sheetData>
    <row r="1" spans="1:19" ht="31.5" x14ac:dyDescent="0.5">
      <c r="A1" s="2433" t="str">
        <f>'4. Köt+önk_Önkori'!A1:K1</f>
        <v>Pilisvörösvár Város Önkormányzata Képviselő-testületének 7/2018. (IV. 27.) önkormányzati rendelete</v>
      </c>
      <c r="B1" s="2433"/>
      <c r="C1" s="2433"/>
      <c r="D1" s="2433"/>
      <c r="E1" s="2433"/>
      <c r="F1" s="2433"/>
      <c r="G1" s="2433"/>
      <c r="H1" s="2433"/>
      <c r="I1" s="2433"/>
      <c r="J1" s="2433"/>
      <c r="K1" s="2433"/>
      <c r="L1" s="2433"/>
      <c r="M1" s="2433"/>
      <c r="N1" s="2433"/>
      <c r="O1" s="2433"/>
      <c r="P1" s="2434"/>
      <c r="Q1" s="2434"/>
      <c r="R1" s="2434"/>
    </row>
    <row r="2" spans="1:19" ht="31.5" x14ac:dyDescent="0.5">
      <c r="A2" s="2433" t="str">
        <f>'4. Köt+önk_Önkori'!A2:K2</f>
        <v>az Önkormányzat  2017. évi zárszámadásáról</v>
      </c>
      <c r="B2" s="2433"/>
      <c r="C2" s="2433"/>
      <c r="D2" s="2433"/>
      <c r="E2" s="2433"/>
      <c r="F2" s="2433"/>
      <c r="G2" s="2433"/>
      <c r="H2" s="2433"/>
      <c r="I2" s="2433"/>
      <c r="J2" s="2433"/>
      <c r="K2" s="2433"/>
      <c r="L2" s="2433"/>
      <c r="M2" s="2433"/>
      <c r="N2" s="2433"/>
      <c r="O2" s="2433"/>
      <c r="P2" s="2434"/>
      <c r="Q2" s="2434"/>
      <c r="R2" s="2434"/>
    </row>
    <row r="3" spans="1:19" ht="15" customHeight="1" x14ac:dyDescent="0.45">
      <c r="A3" s="1704"/>
      <c r="B3" s="1704"/>
      <c r="C3" s="1704"/>
      <c r="D3" s="1704"/>
      <c r="E3" s="1704"/>
      <c r="F3" s="1704"/>
      <c r="G3" s="1704"/>
      <c r="H3" s="1704"/>
      <c r="I3" s="1704"/>
      <c r="J3" s="1704"/>
      <c r="K3" s="1704"/>
      <c r="L3" s="1704"/>
      <c r="M3" s="1704"/>
      <c r="N3" s="1704"/>
      <c r="O3" s="1704"/>
      <c r="P3" s="1704"/>
      <c r="Q3" s="1704"/>
      <c r="R3" s="1704"/>
    </row>
    <row r="4" spans="1:19" ht="29.25" customHeight="1" x14ac:dyDescent="0.5">
      <c r="A4" s="2433" t="str">
        <f>Tartalomjegyzék_2017!B12</f>
        <v>Pilisvörösvári Polgármesteri Hivatal költségvetése kötelező és önként vállalt feladat szerinti bontásban</v>
      </c>
      <c r="B4" s="2433"/>
      <c r="C4" s="2433"/>
      <c r="D4" s="2433"/>
      <c r="E4" s="2433"/>
      <c r="F4" s="2433"/>
      <c r="G4" s="2433"/>
      <c r="H4" s="2433"/>
      <c r="I4" s="2433"/>
      <c r="J4" s="2433"/>
      <c r="K4" s="2433"/>
      <c r="L4" s="2433"/>
      <c r="M4" s="2433"/>
      <c r="N4" s="2433"/>
      <c r="O4" s="2433"/>
      <c r="P4" s="2434"/>
      <c r="Q4" s="2434"/>
      <c r="R4" s="2434"/>
    </row>
    <row r="5" spans="1:19" ht="30.75" x14ac:dyDescent="0.45">
      <c r="A5" s="1704"/>
      <c r="B5" s="1704"/>
      <c r="C5" s="1704"/>
      <c r="D5" s="1704"/>
      <c r="E5" s="1704"/>
      <c r="F5" s="1704"/>
      <c r="G5" s="1704"/>
      <c r="H5" s="1704"/>
      <c r="I5" s="1704"/>
      <c r="J5" s="1704"/>
      <c r="K5" s="1704"/>
      <c r="L5" s="1704"/>
      <c r="M5" s="1704"/>
      <c r="N5" s="1704"/>
      <c r="O5" s="1704"/>
      <c r="P5" s="1704"/>
      <c r="Q5" s="1804"/>
      <c r="R5" s="1804" t="s">
        <v>14</v>
      </c>
    </row>
    <row r="6" spans="1:19" ht="30.75" x14ac:dyDescent="0.45">
      <c r="A6" s="1704"/>
      <c r="B6" s="1704"/>
      <c r="C6" s="1704"/>
      <c r="D6" s="1704"/>
      <c r="E6" s="1704"/>
      <c r="F6" s="1704"/>
      <c r="G6" s="1704"/>
      <c r="H6" s="1704"/>
      <c r="I6" s="1704"/>
      <c r="J6" s="1704"/>
      <c r="K6" s="1704"/>
      <c r="L6" s="1704"/>
      <c r="M6" s="1704"/>
      <c r="N6" s="1704"/>
      <c r="O6" s="1704"/>
      <c r="P6" s="1704"/>
      <c r="Q6" s="1804"/>
      <c r="R6" s="1804"/>
      <c r="S6" s="262"/>
    </row>
    <row r="7" spans="1:19" ht="31.5" thickBot="1" x14ac:dyDescent="0.5">
      <c r="A7" s="1704"/>
      <c r="B7" s="1704"/>
      <c r="C7" s="1704"/>
      <c r="D7" s="1704"/>
      <c r="E7" s="1704"/>
      <c r="F7" s="1704"/>
      <c r="G7" s="1704"/>
      <c r="H7" s="1704"/>
      <c r="I7" s="1704"/>
      <c r="J7" s="1704"/>
      <c r="K7" s="1704"/>
      <c r="L7" s="1704"/>
      <c r="M7" s="1704"/>
      <c r="N7" s="1704"/>
      <c r="O7" s="1704"/>
      <c r="P7" s="1704"/>
      <c r="Q7" s="1804"/>
      <c r="R7" s="1805" t="s">
        <v>323</v>
      </c>
      <c r="S7" s="262"/>
    </row>
    <row r="8" spans="1:19" s="1493" customFormat="1" ht="26.25" x14ac:dyDescent="0.4">
      <c r="A8" s="2419" t="s">
        <v>364</v>
      </c>
      <c r="B8" s="2421" t="s">
        <v>799</v>
      </c>
      <c r="C8" s="2435" t="s">
        <v>152</v>
      </c>
      <c r="D8" s="2436"/>
      <c r="E8" s="2436"/>
      <c r="F8" s="2437"/>
      <c r="G8" s="2438" t="s">
        <v>1107</v>
      </c>
      <c r="H8" s="2436"/>
      <c r="I8" s="2436"/>
      <c r="J8" s="2439"/>
      <c r="K8" s="2435" t="s">
        <v>775</v>
      </c>
      <c r="L8" s="2436"/>
      <c r="M8" s="2436"/>
      <c r="N8" s="2437"/>
      <c r="O8" s="2438" t="s">
        <v>444</v>
      </c>
      <c r="P8" s="2436"/>
      <c r="Q8" s="2436"/>
      <c r="R8" s="2437"/>
    </row>
    <row r="9" spans="1:19" ht="121.5" x14ac:dyDescent="0.2">
      <c r="A9" s="2431"/>
      <c r="B9" s="2432" t="s">
        <v>799</v>
      </c>
      <c r="C9" s="1317" t="s">
        <v>1004</v>
      </c>
      <c r="D9" s="1318" t="s">
        <v>1066</v>
      </c>
      <c r="E9" s="1318" t="s">
        <v>1103</v>
      </c>
      <c r="F9" s="1319" t="s">
        <v>1084</v>
      </c>
      <c r="G9" s="1320" t="s">
        <v>1005</v>
      </c>
      <c r="H9" s="1318" t="s">
        <v>1067</v>
      </c>
      <c r="I9" s="1318" t="s">
        <v>1106</v>
      </c>
      <c r="J9" s="1321" t="s">
        <v>1084</v>
      </c>
      <c r="K9" s="1317" t="s">
        <v>1006</v>
      </c>
      <c r="L9" s="1318" t="s">
        <v>1068</v>
      </c>
      <c r="M9" s="1318" t="s">
        <v>1109</v>
      </c>
      <c r="N9" s="1319" t="s">
        <v>1084</v>
      </c>
      <c r="O9" s="1320" t="s">
        <v>1007</v>
      </c>
      <c r="P9" s="1318" t="s">
        <v>1069</v>
      </c>
      <c r="Q9" s="1318" t="s">
        <v>1108</v>
      </c>
      <c r="R9" s="1319" t="s">
        <v>1084</v>
      </c>
    </row>
    <row r="10" spans="1:19" s="53" customFormat="1" ht="27.75" x14ac:dyDescent="0.4">
      <c r="A10" s="1608" t="s">
        <v>374</v>
      </c>
      <c r="B10" s="1730" t="s">
        <v>373</v>
      </c>
      <c r="C10" s="1745">
        <f>'2.Bevételek_részletes'!I8</f>
        <v>0</v>
      </c>
      <c r="D10" s="1746">
        <f>'2.Bevételek_részletes'!J8</f>
        <v>0</v>
      </c>
      <c r="E10" s="1746">
        <f>'2.Bevételek_részletes'!K8</f>
        <v>0</v>
      </c>
      <c r="F10" s="1747"/>
      <c r="G10" s="1748"/>
      <c r="H10" s="1746"/>
      <c r="I10" s="1746"/>
      <c r="J10" s="1749"/>
      <c r="K10" s="1745"/>
      <c r="L10" s="1746"/>
      <c r="M10" s="1746"/>
      <c r="N10" s="1747"/>
      <c r="O10" s="1748">
        <f t="shared" ref="O10:Q11" si="0">C10+G10+K10</f>
        <v>0</v>
      </c>
      <c r="P10" s="1746">
        <f t="shared" si="0"/>
        <v>0</v>
      </c>
      <c r="Q10" s="1746">
        <f t="shared" si="0"/>
        <v>0</v>
      </c>
      <c r="R10" s="1747"/>
    </row>
    <row r="11" spans="1:19" s="53" customFormat="1" ht="52.5" x14ac:dyDescent="0.4">
      <c r="A11" s="1608" t="s">
        <v>376</v>
      </c>
      <c r="B11" s="1730" t="s">
        <v>375</v>
      </c>
      <c r="C11" s="1745">
        <f>'2.Bevételek_részletes'!I9</f>
        <v>0</v>
      </c>
      <c r="D11" s="1746">
        <f>'2.Bevételek_részletes'!J9</f>
        <v>0</v>
      </c>
      <c r="E11" s="1746">
        <f>'2.Bevételek_részletes'!K9</f>
        <v>518</v>
      </c>
      <c r="F11" s="1747"/>
      <c r="G11" s="1748"/>
      <c r="H11" s="1746"/>
      <c r="I11" s="1746"/>
      <c r="J11" s="1749"/>
      <c r="K11" s="1745"/>
      <c r="L11" s="1746"/>
      <c r="M11" s="1746"/>
      <c r="N11" s="1747"/>
      <c r="O11" s="1748">
        <f t="shared" si="0"/>
        <v>0</v>
      </c>
      <c r="P11" s="1746">
        <f t="shared" si="0"/>
        <v>0</v>
      </c>
      <c r="Q11" s="1746">
        <f t="shared" si="0"/>
        <v>518</v>
      </c>
      <c r="R11" s="1747"/>
    </row>
    <row r="12" spans="1:19" s="53" customFormat="1" ht="51" x14ac:dyDescent="0.35">
      <c r="A12" s="1723" t="s">
        <v>378</v>
      </c>
      <c r="B12" s="1731" t="s">
        <v>377</v>
      </c>
      <c r="C12" s="1750">
        <f>SUM(C10:C11)</f>
        <v>0</v>
      </c>
      <c r="D12" s="1751">
        <f t="shared" ref="D12:O12" si="1">SUM(D10:D11)</f>
        <v>0</v>
      </c>
      <c r="E12" s="1751">
        <f t="shared" si="1"/>
        <v>518</v>
      </c>
      <c r="F12" s="1752"/>
      <c r="G12" s="1753">
        <f t="shared" si="1"/>
        <v>0</v>
      </c>
      <c r="H12" s="1751">
        <f t="shared" si="1"/>
        <v>0</v>
      </c>
      <c r="I12" s="1751">
        <f t="shared" si="1"/>
        <v>0</v>
      </c>
      <c r="J12" s="1754"/>
      <c r="K12" s="1750">
        <f t="shared" si="1"/>
        <v>0</v>
      </c>
      <c r="L12" s="1751">
        <f t="shared" si="1"/>
        <v>0</v>
      </c>
      <c r="M12" s="1751">
        <f t="shared" si="1"/>
        <v>0</v>
      </c>
      <c r="N12" s="1752"/>
      <c r="O12" s="1753">
        <f t="shared" si="1"/>
        <v>0</v>
      </c>
      <c r="P12" s="1751">
        <f>SUM(P10:P11)</f>
        <v>0</v>
      </c>
      <c r="Q12" s="1751">
        <f>SUM(Q10:Q11)</f>
        <v>518</v>
      </c>
      <c r="R12" s="1752"/>
    </row>
    <row r="13" spans="1:19" ht="51" x14ac:dyDescent="0.35">
      <c r="A13" s="1723" t="s">
        <v>382</v>
      </c>
      <c r="B13" s="1731" t="s">
        <v>381</v>
      </c>
      <c r="C13" s="1750">
        <f>'2.Bevételek_részletes'!I13</f>
        <v>0</v>
      </c>
      <c r="D13" s="1751">
        <f>'2.Bevételek_részletes'!J13</f>
        <v>0</v>
      </c>
      <c r="E13" s="1751">
        <f>'2.Bevételek_részletes'!K13</f>
        <v>0</v>
      </c>
      <c r="F13" s="1752"/>
      <c r="G13" s="1753"/>
      <c r="H13" s="1751"/>
      <c r="I13" s="1751"/>
      <c r="J13" s="1754"/>
      <c r="K13" s="1750"/>
      <c r="L13" s="1751"/>
      <c r="M13" s="1751"/>
      <c r="N13" s="1752"/>
      <c r="O13" s="1753">
        <f t="shared" ref="O13:Q16" si="2">C13+G13+K13</f>
        <v>0</v>
      </c>
      <c r="P13" s="1751">
        <f t="shared" si="2"/>
        <v>0</v>
      </c>
      <c r="Q13" s="1751">
        <f t="shared" si="2"/>
        <v>0</v>
      </c>
      <c r="R13" s="1752"/>
    </row>
    <row r="14" spans="1:19" ht="52.5" x14ac:dyDescent="0.35">
      <c r="A14" s="1724" t="s">
        <v>146</v>
      </c>
      <c r="B14" s="1732" t="s">
        <v>157</v>
      </c>
      <c r="C14" s="1750">
        <f>'2.Bevételek_részletes'!I14</f>
        <v>0</v>
      </c>
      <c r="D14" s="1751">
        <f>'2.Bevételek_részletes'!J14</f>
        <v>0</v>
      </c>
      <c r="E14" s="1751">
        <f>'2.Bevételek_részletes'!K14</f>
        <v>0</v>
      </c>
      <c r="F14" s="1752"/>
      <c r="G14" s="1753"/>
      <c r="H14" s="1751"/>
      <c r="I14" s="1751"/>
      <c r="J14" s="1754"/>
      <c r="K14" s="1750"/>
      <c r="L14" s="1751"/>
      <c r="M14" s="1751"/>
      <c r="N14" s="1752"/>
      <c r="O14" s="1753">
        <f t="shared" si="2"/>
        <v>0</v>
      </c>
      <c r="P14" s="1751">
        <f t="shared" si="2"/>
        <v>0</v>
      </c>
      <c r="Q14" s="1751">
        <f t="shared" si="2"/>
        <v>0</v>
      </c>
      <c r="R14" s="1752"/>
    </row>
    <row r="15" spans="1:19" s="53" customFormat="1" ht="52.5" x14ac:dyDescent="0.35">
      <c r="A15" s="1608" t="s">
        <v>103</v>
      </c>
      <c r="B15" s="1730" t="s">
        <v>156</v>
      </c>
      <c r="C15" s="1750">
        <f>'2.Bevételek_részletes'!I15</f>
        <v>0</v>
      </c>
      <c r="D15" s="1751">
        <f>'2.Bevételek_részletes'!J15</f>
        <v>0</v>
      </c>
      <c r="E15" s="1751">
        <f>'2.Bevételek_részletes'!K15</f>
        <v>0</v>
      </c>
      <c r="F15" s="1752"/>
      <c r="G15" s="1753"/>
      <c r="H15" s="1751"/>
      <c r="I15" s="1751"/>
      <c r="J15" s="1754"/>
      <c r="K15" s="1750"/>
      <c r="L15" s="1751"/>
      <c r="M15" s="1751"/>
      <c r="N15" s="1752"/>
      <c r="O15" s="1753">
        <f t="shared" si="2"/>
        <v>0</v>
      </c>
      <c r="P15" s="1751">
        <f t="shared" si="2"/>
        <v>0</v>
      </c>
      <c r="Q15" s="1751">
        <f t="shared" si="2"/>
        <v>0</v>
      </c>
      <c r="R15" s="1752"/>
    </row>
    <row r="16" spans="1:19" s="53" customFormat="1" ht="27.75" x14ac:dyDescent="0.4">
      <c r="A16" s="1608" t="s">
        <v>385</v>
      </c>
      <c r="B16" s="1730" t="s">
        <v>153</v>
      </c>
      <c r="C16" s="1750">
        <f>'2.Bevételek_részletes'!I16</f>
        <v>700</v>
      </c>
      <c r="D16" s="1751">
        <f>'13. Működési bev. (B3,B4)'!K20</f>
        <v>145</v>
      </c>
      <c r="E16" s="1751">
        <f>'2.Bevételek_részletes'!K16</f>
        <v>788</v>
      </c>
      <c r="F16" s="1755">
        <f>E16/D16%</f>
        <v>543.44827586206895</v>
      </c>
      <c r="G16" s="1753"/>
      <c r="H16" s="1751"/>
      <c r="I16" s="1751"/>
      <c r="J16" s="1754"/>
      <c r="K16" s="1750"/>
      <c r="L16" s="1751"/>
      <c r="M16" s="1751"/>
      <c r="N16" s="1752"/>
      <c r="O16" s="1753">
        <f t="shared" si="2"/>
        <v>700</v>
      </c>
      <c r="P16" s="1751">
        <f t="shared" si="2"/>
        <v>145</v>
      </c>
      <c r="Q16" s="1751">
        <f t="shared" si="2"/>
        <v>788</v>
      </c>
      <c r="R16" s="1756">
        <f>Q16/P16%</f>
        <v>543.44827586206895</v>
      </c>
    </row>
    <row r="17" spans="1:18" s="53" customFormat="1" ht="27.75" x14ac:dyDescent="0.4">
      <c r="A17" s="1723" t="s">
        <v>387</v>
      </c>
      <c r="B17" s="1731" t="s">
        <v>386</v>
      </c>
      <c r="C17" s="1750">
        <f>SUM(C14:C16)</f>
        <v>700</v>
      </c>
      <c r="D17" s="1751">
        <f t="shared" ref="D17:P17" si="3">SUM(D14:D16)</f>
        <v>145</v>
      </c>
      <c r="E17" s="1751">
        <f>SUM(E14:E16)</f>
        <v>788</v>
      </c>
      <c r="F17" s="1755">
        <f t="shared" ref="F17:F26" si="4">E17/D17%</f>
        <v>543.44827586206895</v>
      </c>
      <c r="G17" s="1753">
        <f t="shared" si="3"/>
        <v>0</v>
      </c>
      <c r="H17" s="1751">
        <f t="shared" si="3"/>
        <v>0</v>
      </c>
      <c r="I17" s="1751">
        <f t="shared" si="3"/>
        <v>0</v>
      </c>
      <c r="J17" s="1754"/>
      <c r="K17" s="1750">
        <f t="shared" si="3"/>
        <v>0</v>
      </c>
      <c r="L17" s="1751">
        <f t="shared" si="3"/>
        <v>0</v>
      </c>
      <c r="M17" s="1751">
        <f t="shared" si="3"/>
        <v>0</v>
      </c>
      <c r="N17" s="1752"/>
      <c r="O17" s="1753">
        <f t="shared" si="3"/>
        <v>700</v>
      </c>
      <c r="P17" s="1751">
        <f t="shared" si="3"/>
        <v>145</v>
      </c>
      <c r="Q17" s="1751">
        <f t="shared" ref="Q17" si="5">SUM(Q14:Q16)</f>
        <v>788</v>
      </c>
      <c r="R17" s="1756">
        <f t="shared" ref="R17:R26" si="6">Q17/P17%</f>
        <v>543.44827586206895</v>
      </c>
    </row>
    <row r="18" spans="1:18" ht="27.75" x14ac:dyDescent="0.4">
      <c r="A18" s="1608" t="s">
        <v>114</v>
      </c>
      <c r="B18" s="1733" t="s">
        <v>388</v>
      </c>
      <c r="C18" s="1745">
        <f>'2.Bevételek_részletes'!I18</f>
        <v>3570</v>
      </c>
      <c r="D18" s="1746">
        <f>'2.Bevételek_részletes'!J18-H18</f>
        <v>0</v>
      </c>
      <c r="E18" s="1746">
        <f>'2.Bevételek_részletes'!K18-I18</f>
        <v>0</v>
      </c>
      <c r="F18" s="1755"/>
      <c r="G18" s="1748"/>
      <c r="H18" s="1746">
        <f>3400*1.05</f>
        <v>3570</v>
      </c>
      <c r="I18" s="1746">
        <f>'13. Működési bev. (B3,B4)'!L23</f>
        <v>3608.8500000000004</v>
      </c>
      <c r="J18" s="1757">
        <f>I18/H18%</f>
        <v>101.08823529411765</v>
      </c>
      <c r="K18" s="1745"/>
      <c r="L18" s="1746"/>
      <c r="M18" s="1746"/>
      <c r="N18" s="1747"/>
      <c r="O18" s="1748">
        <f t="shared" ref="O18:Q19" si="7">C18+G18+K18</f>
        <v>3570</v>
      </c>
      <c r="P18" s="1746">
        <f t="shared" si="7"/>
        <v>3570</v>
      </c>
      <c r="Q18" s="1746">
        <f t="shared" si="7"/>
        <v>3608.8500000000004</v>
      </c>
      <c r="R18" s="1755">
        <f t="shared" si="6"/>
        <v>101.08823529411765</v>
      </c>
    </row>
    <row r="19" spans="1:18" ht="27.75" x14ac:dyDescent="0.4">
      <c r="A19" s="1608" t="s">
        <v>113</v>
      </c>
      <c r="B19" s="1730" t="s">
        <v>116</v>
      </c>
      <c r="C19" s="1745">
        <f>73063-K19-G19</f>
        <v>0</v>
      </c>
      <c r="D19" s="1746">
        <f>'2.Bevételek_részletes'!J19-L19-H19</f>
        <v>17010.824000000001</v>
      </c>
      <c r="E19" s="1758">
        <f>'2.Bevételek_részletes'!K19-M19-I19</f>
        <v>17188.360000000004</v>
      </c>
      <c r="F19" s="1755">
        <f t="shared" si="4"/>
        <v>101.04366490418104</v>
      </c>
      <c r="G19" s="1748"/>
      <c r="H19" s="1746">
        <f>1005*1.27</f>
        <v>1276.3499999999999</v>
      </c>
      <c r="I19" s="1746">
        <f>'13. Működési bev. (B3,B4)'!L29</f>
        <v>1547.6219999999998</v>
      </c>
      <c r="J19" s="1757">
        <f>I19/H19%</f>
        <v>121.25373134328358</v>
      </c>
      <c r="K19" s="1745">
        <v>73063</v>
      </c>
      <c r="L19" s="1758">
        <f>50733+10076</f>
        <v>60809</v>
      </c>
      <c r="M19" s="1758">
        <f>65349-3323</f>
        <v>62026</v>
      </c>
      <c r="N19" s="1755">
        <f>M19/L19%</f>
        <v>102.00134848459932</v>
      </c>
      <c r="O19" s="1748">
        <f t="shared" si="7"/>
        <v>73063</v>
      </c>
      <c r="P19" s="1746">
        <f t="shared" si="7"/>
        <v>79096.173999999999</v>
      </c>
      <c r="Q19" s="1758">
        <f t="shared" si="7"/>
        <v>80761.982000000004</v>
      </c>
      <c r="R19" s="1755">
        <f t="shared" si="6"/>
        <v>102.10605382758465</v>
      </c>
    </row>
    <row r="20" spans="1:18" ht="52.5" x14ac:dyDescent="0.4">
      <c r="A20" s="1608" t="s">
        <v>112</v>
      </c>
      <c r="B20" s="1730" t="s">
        <v>107</v>
      </c>
      <c r="C20" s="1745">
        <f>'2.Bevételek_részletes'!I20</f>
        <v>1700</v>
      </c>
      <c r="D20" s="1746">
        <f>'2.Bevételek_részletes'!J20</f>
        <v>1700</v>
      </c>
      <c r="E20" s="1758">
        <f>'2.Bevételek_részletes'!K20</f>
        <v>1163</v>
      </c>
      <c r="F20" s="1755">
        <f t="shared" si="4"/>
        <v>68.411764705882348</v>
      </c>
      <c r="G20" s="1748"/>
      <c r="H20" s="1746"/>
      <c r="I20" s="1746"/>
      <c r="J20" s="1757"/>
      <c r="K20" s="1745"/>
      <c r="L20" s="1758"/>
      <c r="M20" s="1758"/>
      <c r="N20" s="1759"/>
      <c r="O20" s="1748">
        <f t="shared" ref="O20:P22" si="8">C20+G20+K20</f>
        <v>1700</v>
      </c>
      <c r="P20" s="1746">
        <f t="shared" si="8"/>
        <v>1700</v>
      </c>
      <c r="Q20" s="1746">
        <f t="shared" ref="Q20:Q25" si="9">E20+J20+M20</f>
        <v>1163</v>
      </c>
      <c r="R20" s="1755">
        <f t="shared" si="6"/>
        <v>68.411764705882348</v>
      </c>
    </row>
    <row r="21" spans="1:18" ht="27.75" x14ac:dyDescent="0.4">
      <c r="A21" s="1608" t="s">
        <v>395</v>
      </c>
      <c r="B21" s="1730" t="s">
        <v>394</v>
      </c>
      <c r="C21" s="1745">
        <f>'2.Bevételek_részletes'!I21</f>
        <v>0</v>
      </c>
      <c r="D21" s="1746">
        <f>'2.Bevételek_részletes'!J21</f>
        <v>0</v>
      </c>
      <c r="E21" s="1758">
        <f>'2.Bevételek_részletes'!K21</f>
        <v>0</v>
      </c>
      <c r="F21" s="1755"/>
      <c r="G21" s="1748"/>
      <c r="H21" s="1746"/>
      <c r="I21" s="1746"/>
      <c r="J21" s="1757"/>
      <c r="K21" s="1745"/>
      <c r="L21" s="1758"/>
      <c r="M21" s="1758"/>
      <c r="N21" s="1759"/>
      <c r="O21" s="1748">
        <f t="shared" si="8"/>
        <v>0</v>
      </c>
      <c r="P21" s="1746">
        <f t="shared" si="8"/>
        <v>0</v>
      </c>
      <c r="Q21" s="1746">
        <f t="shared" si="9"/>
        <v>0</v>
      </c>
      <c r="R21" s="1755"/>
    </row>
    <row r="22" spans="1:18" ht="27.75" x14ac:dyDescent="0.4">
      <c r="A22" s="1608" t="s">
        <v>397</v>
      </c>
      <c r="B22" s="1730" t="s">
        <v>396</v>
      </c>
      <c r="C22" s="1745">
        <f>'2.Bevételek_részletes'!I22</f>
        <v>39325.200000000004</v>
      </c>
      <c r="D22" s="1746">
        <f>'2.Bevételek_részletes'!J22</f>
        <v>29404.2</v>
      </c>
      <c r="E22" s="1758">
        <f>'2.Bevételek_részletes'!K22</f>
        <v>22877</v>
      </c>
      <c r="F22" s="1755">
        <f t="shared" si="4"/>
        <v>77.801810625692923</v>
      </c>
      <c r="G22" s="1748"/>
      <c r="H22" s="1746"/>
      <c r="I22" s="1746"/>
      <c r="J22" s="1757"/>
      <c r="K22" s="1745"/>
      <c r="L22" s="1758"/>
      <c r="M22" s="1758"/>
      <c r="N22" s="1759"/>
      <c r="O22" s="1748">
        <f t="shared" si="8"/>
        <v>39325.200000000004</v>
      </c>
      <c r="P22" s="1746">
        <f t="shared" si="8"/>
        <v>29404.2</v>
      </c>
      <c r="Q22" s="1746">
        <f t="shared" si="9"/>
        <v>22877</v>
      </c>
      <c r="R22" s="1755">
        <f t="shared" si="6"/>
        <v>77.801810625692923</v>
      </c>
    </row>
    <row r="23" spans="1:18" ht="27.75" x14ac:dyDescent="0.4">
      <c r="A23" s="1608" t="s">
        <v>399</v>
      </c>
      <c r="B23" s="1730" t="s">
        <v>80</v>
      </c>
      <c r="C23" s="1745">
        <f>'2.Bevételek_részletes'!I23</f>
        <v>0</v>
      </c>
      <c r="D23" s="1746">
        <f>'2.Bevételek_részletes'!J23-L23</f>
        <v>12675</v>
      </c>
      <c r="E23" s="1758">
        <f>'2.Bevételek_részletes'!K23-M23</f>
        <v>6046</v>
      </c>
      <c r="F23" s="1755">
        <f t="shared" si="4"/>
        <v>47.700197238658774</v>
      </c>
      <c r="G23" s="1748"/>
      <c r="H23" s="1746"/>
      <c r="I23" s="1746"/>
      <c r="J23" s="1757"/>
      <c r="K23" s="1745"/>
      <c r="L23" s="1758">
        <v>4761</v>
      </c>
      <c r="M23" s="1760">
        <v>3323</v>
      </c>
      <c r="N23" s="1755">
        <f>M23/L23%</f>
        <v>69.796261289645031</v>
      </c>
      <c r="O23" s="1748">
        <f t="shared" ref="O23" si="10">C23+G23+K23</f>
        <v>0</v>
      </c>
      <c r="P23" s="1746">
        <f>D23+H23+L23</f>
        <v>17436</v>
      </c>
      <c r="Q23" s="1746">
        <f t="shared" si="9"/>
        <v>9369</v>
      </c>
      <c r="R23" s="1755">
        <f t="shared" si="6"/>
        <v>53.733654507914657</v>
      </c>
    </row>
    <row r="24" spans="1:18" ht="27.75" x14ac:dyDescent="0.4">
      <c r="A24" s="1608" t="s">
        <v>401</v>
      </c>
      <c r="B24" s="1730" t="s">
        <v>400</v>
      </c>
      <c r="C24" s="1745">
        <f>'2.Bevételek_részletes'!I23</f>
        <v>0</v>
      </c>
      <c r="D24" s="1746">
        <f>'2.Bevételek_részletes'!J24</f>
        <v>0</v>
      </c>
      <c r="E24" s="1746">
        <f>'2.Bevételek_részletes'!K24</f>
        <v>0</v>
      </c>
      <c r="F24" s="1755"/>
      <c r="G24" s="1748"/>
      <c r="H24" s="1746"/>
      <c r="I24" s="1746"/>
      <c r="J24" s="1757"/>
      <c r="K24" s="1745"/>
      <c r="L24" s="1746"/>
      <c r="M24" s="1746"/>
      <c r="N24" s="1747"/>
      <c r="O24" s="1748">
        <f>C24+G24+K24</f>
        <v>0</v>
      </c>
      <c r="P24" s="1746">
        <f>D24+H24+L24</f>
        <v>0</v>
      </c>
      <c r="Q24" s="1746">
        <f t="shared" si="9"/>
        <v>0</v>
      </c>
      <c r="R24" s="1755"/>
    </row>
    <row r="25" spans="1:18" ht="27.75" x14ac:dyDescent="0.4">
      <c r="A25" s="1608" t="s">
        <v>874</v>
      </c>
      <c r="B25" s="1730" t="s">
        <v>980</v>
      </c>
      <c r="C25" s="1745">
        <f>'13. Működési bev. (B3,B4)'!J51</f>
        <v>0</v>
      </c>
      <c r="D25" s="1746">
        <f>'13. Működési bev. (B3,B4)'!K51</f>
        <v>600</v>
      </c>
      <c r="E25" s="1746">
        <f>'13. Működési bev. (B3,B4)'!L51</f>
        <v>449</v>
      </c>
      <c r="F25" s="1755">
        <f t="shared" si="4"/>
        <v>74.833333333333329</v>
      </c>
      <c r="G25" s="1748"/>
      <c r="H25" s="1746"/>
      <c r="I25" s="1746"/>
      <c r="J25" s="1757"/>
      <c r="K25" s="1745"/>
      <c r="L25" s="1746"/>
      <c r="M25" s="1746"/>
      <c r="N25" s="1747"/>
      <c r="O25" s="1748">
        <f t="shared" ref="O25" si="11">C25+G25+K25</f>
        <v>0</v>
      </c>
      <c r="P25" s="1746">
        <f t="shared" ref="P25" si="12">D25+H25+L25</f>
        <v>600</v>
      </c>
      <c r="Q25" s="1746">
        <f t="shared" si="9"/>
        <v>449</v>
      </c>
      <c r="R25" s="1755">
        <f t="shared" si="6"/>
        <v>74.833333333333329</v>
      </c>
    </row>
    <row r="26" spans="1:18" s="53" customFormat="1" ht="27.75" x14ac:dyDescent="0.4">
      <c r="A26" s="1723" t="s">
        <v>403</v>
      </c>
      <c r="B26" s="1734" t="s">
        <v>402</v>
      </c>
      <c r="C26" s="1750">
        <f>SUM(C18:C25)</f>
        <v>44595.200000000004</v>
      </c>
      <c r="D26" s="1751">
        <f>SUM(D18:D25)</f>
        <v>61390.024000000005</v>
      </c>
      <c r="E26" s="1751">
        <f>SUM(E18:E25)</f>
        <v>47723.360000000001</v>
      </c>
      <c r="F26" s="1755">
        <f t="shared" si="4"/>
        <v>77.737972540945734</v>
      </c>
      <c r="G26" s="1753">
        <f t="shared" ref="G26:L26" si="13">SUM(G18:G24)</f>
        <v>0</v>
      </c>
      <c r="H26" s="1751">
        <f t="shared" si="13"/>
        <v>4846.3500000000004</v>
      </c>
      <c r="I26" s="1751">
        <f t="shared" ref="I26" si="14">SUM(I18:I24)</f>
        <v>5156.4719999999998</v>
      </c>
      <c r="J26" s="1757">
        <f>I26/H26%</f>
        <v>106.3990838466062</v>
      </c>
      <c r="K26" s="1750">
        <f t="shared" si="13"/>
        <v>73063</v>
      </c>
      <c r="L26" s="1751">
        <f t="shared" si="13"/>
        <v>65570</v>
      </c>
      <c r="M26" s="1751">
        <f t="shared" ref="M26" si="15">SUM(M18:M24)</f>
        <v>65349</v>
      </c>
      <c r="N26" s="1755">
        <f>M26/L26%</f>
        <v>99.662955619948136</v>
      </c>
      <c r="O26" s="1753">
        <f>SUM(O18:O25)</f>
        <v>117658.20000000001</v>
      </c>
      <c r="P26" s="1751">
        <f>SUM(P18:P25)</f>
        <v>131806.37400000001</v>
      </c>
      <c r="Q26" s="1751">
        <f>SUM(Q18:Q25)</f>
        <v>118228.83200000001</v>
      </c>
      <c r="R26" s="1756">
        <f t="shared" si="6"/>
        <v>89.698872984701026</v>
      </c>
    </row>
    <row r="27" spans="1:18" s="53" customFormat="1" ht="27" x14ac:dyDescent="0.35">
      <c r="A27" s="1723" t="s">
        <v>409</v>
      </c>
      <c r="B27" s="1731" t="s">
        <v>408</v>
      </c>
      <c r="C27" s="1750">
        <f>'2.Bevételek_részletes'!I29</f>
        <v>0</v>
      </c>
      <c r="D27" s="1751">
        <f>'2.Bevételek_részletes'!J29</f>
        <v>0</v>
      </c>
      <c r="E27" s="1751">
        <f>'2.Bevételek_részletes'!K29</f>
        <v>0</v>
      </c>
      <c r="F27" s="1752"/>
      <c r="G27" s="1753"/>
      <c r="H27" s="1751"/>
      <c r="I27" s="1751"/>
      <c r="J27" s="1761"/>
      <c r="K27" s="1750"/>
      <c r="L27" s="1751"/>
      <c r="M27" s="1751"/>
      <c r="N27" s="1752"/>
      <c r="O27" s="1753">
        <f t="shared" ref="O27:Q30" si="16">C27+G27+K27</f>
        <v>0</v>
      </c>
      <c r="P27" s="1751">
        <f t="shared" si="16"/>
        <v>0</v>
      </c>
      <c r="Q27" s="1751">
        <f t="shared" si="16"/>
        <v>0</v>
      </c>
      <c r="R27" s="1756"/>
    </row>
    <row r="28" spans="1:18" s="53" customFormat="1" ht="27" x14ac:dyDescent="0.35">
      <c r="A28" s="1723" t="s">
        <v>413</v>
      </c>
      <c r="B28" s="1731" t="s">
        <v>412</v>
      </c>
      <c r="C28" s="1750">
        <f>'2.Bevételek_részletes'!I31</f>
        <v>0</v>
      </c>
      <c r="D28" s="1751">
        <f>'2.Bevételek_részletes'!J31</f>
        <v>0</v>
      </c>
      <c r="E28" s="1751">
        <f>'2.Bevételek_részletes'!K31</f>
        <v>0</v>
      </c>
      <c r="F28" s="1752"/>
      <c r="G28" s="1753"/>
      <c r="H28" s="1751"/>
      <c r="I28" s="1751"/>
      <c r="J28" s="1761"/>
      <c r="K28" s="1750"/>
      <c r="L28" s="1751"/>
      <c r="M28" s="1751"/>
      <c r="N28" s="1752"/>
      <c r="O28" s="1753">
        <f t="shared" si="16"/>
        <v>0</v>
      </c>
      <c r="P28" s="1751">
        <f t="shared" si="16"/>
        <v>0</v>
      </c>
      <c r="Q28" s="1751">
        <f t="shared" si="16"/>
        <v>0</v>
      </c>
      <c r="R28" s="1756"/>
    </row>
    <row r="29" spans="1:18" s="53" customFormat="1" ht="40.5" customHeight="1" x14ac:dyDescent="0.35">
      <c r="A29" s="1608" t="s">
        <v>415</v>
      </c>
      <c r="B29" s="1730" t="s">
        <v>414</v>
      </c>
      <c r="C29" s="1750">
        <f>'2.Bevételek_részletes'!I32</f>
        <v>0</v>
      </c>
      <c r="D29" s="1751">
        <f>'2.Bevételek_részletes'!J32</f>
        <v>0</v>
      </c>
      <c r="E29" s="1751">
        <f>'2.Bevételek_részletes'!K32</f>
        <v>0</v>
      </c>
      <c r="F29" s="1752"/>
      <c r="G29" s="1753"/>
      <c r="H29" s="1751"/>
      <c r="I29" s="1751"/>
      <c r="J29" s="1761"/>
      <c r="K29" s="1750"/>
      <c r="L29" s="1751"/>
      <c r="M29" s="1751"/>
      <c r="N29" s="1752"/>
      <c r="O29" s="1753">
        <f t="shared" si="16"/>
        <v>0</v>
      </c>
      <c r="P29" s="1751">
        <f t="shared" si="16"/>
        <v>0</v>
      </c>
      <c r="Q29" s="1751">
        <f t="shared" si="16"/>
        <v>0</v>
      </c>
      <c r="R29" s="1756"/>
    </row>
    <row r="30" spans="1:18" s="53" customFormat="1" ht="27" x14ac:dyDescent="0.35">
      <c r="A30" s="1608" t="s">
        <v>417</v>
      </c>
      <c r="B30" s="1733" t="s">
        <v>416</v>
      </c>
      <c r="C30" s="1750">
        <f>'2.Bevételek_részletes'!I33</f>
        <v>0</v>
      </c>
      <c r="D30" s="1751">
        <f>'2.Bevételek_részletes'!J33</f>
        <v>0</v>
      </c>
      <c r="E30" s="1751">
        <f>'2.Bevételek_részletes'!K33</f>
        <v>0</v>
      </c>
      <c r="F30" s="1752"/>
      <c r="G30" s="1753"/>
      <c r="H30" s="1751"/>
      <c r="I30" s="1751"/>
      <c r="J30" s="1761"/>
      <c r="K30" s="1750"/>
      <c r="L30" s="1751"/>
      <c r="M30" s="1751"/>
      <c r="N30" s="1752"/>
      <c r="O30" s="1753">
        <f t="shared" si="16"/>
        <v>0</v>
      </c>
      <c r="P30" s="1751">
        <f t="shared" si="16"/>
        <v>0</v>
      </c>
      <c r="Q30" s="1751">
        <f t="shared" si="16"/>
        <v>0</v>
      </c>
      <c r="R30" s="1756"/>
    </row>
    <row r="31" spans="1:18" s="53" customFormat="1" ht="27" x14ac:dyDescent="0.35">
      <c r="A31" s="1723" t="s">
        <v>419</v>
      </c>
      <c r="B31" s="1731" t="s">
        <v>418</v>
      </c>
      <c r="C31" s="1750">
        <f>SUM(C29:C30)</f>
        <v>0</v>
      </c>
      <c r="D31" s="1751">
        <f>SUM(D29:D30)</f>
        <v>0</v>
      </c>
      <c r="E31" s="1751">
        <f>SUM(E29:E30)</f>
        <v>0</v>
      </c>
      <c r="F31" s="1752"/>
      <c r="G31" s="1753">
        <f t="shared" ref="G31:P31" si="17">SUM(G29:G30)</f>
        <v>0</v>
      </c>
      <c r="H31" s="1751">
        <f t="shared" si="17"/>
        <v>0</v>
      </c>
      <c r="I31" s="1751">
        <f t="shared" ref="I31:J31" si="18">SUM(I29:I30)</f>
        <v>0</v>
      </c>
      <c r="J31" s="1761">
        <f t="shared" si="18"/>
        <v>0</v>
      </c>
      <c r="K31" s="1750">
        <f t="shared" si="17"/>
        <v>0</v>
      </c>
      <c r="L31" s="1751">
        <f t="shared" si="17"/>
        <v>0</v>
      </c>
      <c r="M31" s="1751">
        <f t="shared" ref="M31" si="19">SUM(M29:M30)</f>
        <v>0</v>
      </c>
      <c r="N31" s="1752"/>
      <c r="O31" s="1753">
        <f t="shared" si="17"/>
        <v>0</v>
      </c>
      <c r="P31" s="1751">
        <f t="shared" si="17"/>
        <v>0</v>
      </c>
      <c r="Q31" s="1751">
        <f t="shared" ref="Q31" si="20">SUM(Q29:Q30)</f>
        <v>0</v>
      </c>
      <c r="R31" s="1756"/>
    </row>
    <row r="32" spans="1:18" s="53" customFormat="1" ht="27" x14ac:dyDescent="0.35">
      <c r="A32" s="1725"/>
      <c r="B32" s="1735" t="s">
        <v>92</v>
      </c>
      <c r="C32" s="1762">
        <f>SUM(C11,C16,C26,C28)</f>
        <v>45295.200000000004</v>
      </c>
      <c r="D32" s="1763">
        <f t="shared" ref="D32:O32" si="21">SUM(D11,D16,D26,D28)</f>
        <v>61535.024000000005</v>
      </c>
      <c r="E32" s="1763">
        <f t="shared" ref="E32" si="22">SUM(E11,E16,E26,E28)</f>
        <v>49029.36</v>
      </c>
      <c r="F32" s="1764">
        <f t="shared" ref="F32" si="23">E32/D32%</f>
        <v>79.677160766200387</v>
      </c>
      <c r="G32" s="1765">
        <f t="shared" si="21"/>
        <v>0</v>
      </c>
      <c r="H32" s="1763">
        <f t="shared" si="21"/>
        <v>4846.3500000000004</v>
      </c>
      <c r="I32" s="1763">
        <f t="shared" ref="I32" si="24">SUM(I11,I16,I26,I28)</f>
        <v>5156.4719999999998</v>
      </c>
      <c r="J32" s="1766">
        <f>I32/H32%</f>
        <v>106.3990838466062</v>
      </c>
      <c r="K32" s="1762">
        <f t="shared" si="21"/>
        <v>73063</v>
      </c>
      <c r="L32" s="1763">
        <f t="shared" si="21"/>
        <v>65570</v>
      </c>
      <c r="M32" s="1763">
        <f t="shared" ref="M32" si="25">SUM(M11,M16,M26,M28)</f>
        <v>65349</v>
      </c>
      <c r="N32" s="1764">
        <f>M32/L32%</f>
        <v>99.662955619948136</v>
      </c>
      <c r="O32" s="1765">
        <f t="shared" si="21"/>
        <v>118358.20000000001</v>
      </c>
      <c r="P32" s="1763">
        <f>SUM(P11,P16,P26,P28)</f>
        <v>131951.37400000001</v>
      </c>
      <c r="Q32" s="1763">
        <f>SUM(Q11,Q16,Q26,Q28)</f>
        <v>119534.83200000001</v>
      </c>
      <c r="R32" s="1764">
        <f t="shared" ref="R32" si="26">Q32/P32%</f>
        <v>90.590062366459335</v>
      </c>
    </row>
    <row r="33" spans="1:18" ht="27" x14ac:dyDescent="0.35">
      <c r="A33" s="1725"/>
      <c r="B33" s="1735" t="s">
        <v>93</v>
      </c>
      <c r="C33" s="1762">
        <f>SUM(C12,C27,C31)</f>
        <v>0</v>
      </c>
      <c r="D33" s="1763">
        <f t="shared" ref="D33:O33" si="27">SUM(D12,D27,D31)</f>
        <v>0</v>
      </c>
      <c r="E33" s="1763">
        <f t="shared" ref="E33" si="28">SUM(E12,E27,E31)</f>
        <v>518</v>
      </c>
      <c r="F33" s="1764"/>
      <c r="G33" s="1765">
        <f t="shared" si="27"/>
        <v>0</v>
      </c>
      <c r="H33" s="1763">
        <f t="shared" si="27"/>
        <v>0</v>
      </c>
      <c r="I33" s="1763">
        <f t="shared" ref="I33:J33" si="29">SUM(I12,I27,I31)</f>
        <v>0</v>
      </c>
      <c r="J33" s="1766">
        <f t="shared" si="29"/>
        <v>0</v>
      </c>
      <c r="K33" s="1762">
        <f t="shared" si="27"/>
        <v>0</v>
      </c>
      <c r="L33" s="1763">
        <f t="shared" si="27"/>
        <v>0</v>
      </c>
      <c r="M33" s="1763">
        <f t="shared" ref="M33" si="30">SUM(M12,M27,M31)</f>
        <v>0</v>
      </c>
      <c r="N33" s="1764"/>
      <c r="O33" s="1765">
        <f t="shared" si="27"/>
        <v>0</v>
      </c>
      <c r="P33" s="1763">
        <f t="shared" ref="P33" si="31">SUM(P12,P27,P31)</f>
        <v>0</v>
      </c>
      <c r="Q33" s="1763"/>
      <c r="R33" s="1764"/>
    </row>
    <row r="34" spans="1:18" ht="27" x14ac:dyDescent="0.35">
      <c r="A34" s="1609" t="s">
        <v>421</v>
      </c>
      <c r="B34" s="1736" t="s">
        <v>420</v>
      </c>
      <c r="C34" s="1767">
        <f>C32+C33</f>
        <v>45295.200000000004</v>
      </c>
      <c r="D34" s="1768">
        <f t="shared" ref="D34:P34" si="32">D32+D33</f>
        <v>61535.024000000005</v>
      </c>
      <c r="E34" s="1768">
        <f t="shared" ref="E34" si="33">E32+E33</f>
        <v>49547.360000000001</v>
      </c>
      <c r="F34" s="1769">
        <f t="shared" ref="F34" si="34">E34/D34%</f>
        <v>80.518957788982078</v>
      </c>
      <c r="G34" s="1770">
        <f t="shared" si="32"/>
        <v>0</v>
      </c>
      <c r="H34" s="1768">
        <f t="shared" si="32"/>
        <v>4846.3500000000004</v>
      </c>
      <c r="I34" s="1768">
        <f t="shared" ref="I34" si="35">I32+I33</f>
        <v>5156.4719999999998</v>
      </c>
      <c r="J34" s="1771">
        <f>I34/H34%</f>
        <v>106.3990838466062</v>
      </c>
      <c r="K34" s="1767">
        <f t="shared" si="32"/>
        <v>73063</v>
      </c>
      <c r="L34" s="1768">
        <f t="shared" si="32"/>
        <v>65570</v>
      </c>
      <c r="M34" s="1768">
        <f t="shared" ref="M34" si="36">M32+M33</f>
        <v>65349</v>
      </c>
      <c r="N34" s="1769">
        <f>M34/L34%</f>
        <v>99.662955619948136</v>
      </c>
      <c r="O34" s="1770">
        <f t="shared" si="32"/>
        <v>118358.20000000001</v>
      </c>
      <c r="P34" s="1768">
        <f t="shared" si="32"/>
        <v>131951.37400000001</v>
      </c>
      <c r="Q34" s="1768">
        <f t="shared" ref="Q34" si="37">Q32+Q33</f>
        <v>119534.83200000001</v>
      </c>
      <c r="R34" s="1769">
        <f t="shared" ref="R34" si="38">Q34/P34%</f>
        <v>90.590062366459335</v>
      </c>
    </row>
    <row r="35" spans="1:18" ht="27.75" x14ac:dyDescent="0.4">
      <c r="A35" s="1726"/>
      <c r="B35" s="1737" t="s">
        <v>422</v>
      </c>
      <c r="C35" s="1772">
        <f>C32-C63</f>
        <v>-460185.15600000002</v>
      </c>
      <c r="D35" s="1773">
        <f t="shared" ref="D35:O35" si="39">D32-D63</f>
        <v>-413142.33200000005</v>
      </c>
      <c r="E35" s="1773">
        <f t="shared" ref="E35" si="40">E32-E63</f>
        <v>-364323.64</v>
      </c>
      <c r="F35" s="1774"/>
      <c r="G35" s="1775">
        <f t="shared" si="39"/>
        <v>0</v>
      </c>
      <c r="H35" s="1773">
        <f t="shared" si="39"/>
        <v>-3159.6499999999996</v>
      </c>
      <c r="I35" s="1773">
        <f t="shared" ref="I35" si="41">I32-I63</f>
        <v>-2846.5280000000002</v>
      </c>
      <c r="J35" s="1776"/>
      <c r="K35" s="1772">
        <f t="shared" si="39"/>
        <v>32665</v>
      </c>
      <c r="L35" s="1773">
        <f t="shared" si="39"/>
        <v>3350</v>
      </c>
      <c r="M35" s="1773">
        <f t="shared" ref="M35" si="42">M32-M63</f>
        <v>6705</v>
      </c>
      <c r="N35" s="1774"/>
      <c r="O35" s="1775">
        <f t="shared" si="39"/>
        <v>-427520.15600000002</v>
      </c>
      <c r="P35" s="1773">
        <f t="shared" ref="P35:Q35" si="43">P32-P63</f>
        <v>-412951.98200000002</v>
      </c>
      <c r="Q35" s="1773">
        <f t="shared" si="43"/>
        <v>-360465.16800000001</v>
      </c>
      <c r="R35" s="1777"/>
    </row>
    <row r="36" spans="1:18" ht="27.75" x14ac:dyDescent="0.4">
      <c r="A36" s="1726"/>
      <c r="B36" s="1737" t="s">
        <v>423</v>
      </c>
      <c r="C36" s="1772">
        <f>C33-C64</f>
        <v>-5810</v>
      </c>
      <c r="D36" s="1773">
        <f t="shared" ref="D36:O36" si="44">D33-D64</f>
        <v>-19786</v>
      </c>
      <c r="E36" s="1773">
        <f t="shared" ref="E36" si="45">E33-E64</f>
        <v>-14336.15</v>
      </c>
      <c r="F36" s="1774"/>
      <c r="G36" s="1775">
        <f t="shared" si="44"/>
        <v>0</v>
      </c>
      <c r="H36" s="1773">
        <f t="shared" si="44"/>
        <v>-557</v>
      </c>
      <c r="I36" s="1773">
        <f t="shared" ref="I36" si="46">I33-I64</f>
        <v>-516</v>
      </c>
      <c r="J36" s="1776"/>
      <c r="K36" s="1772">
        <f t="shared" si="44"/>
        <v>-5850</v>
      </c>
      <c r="L36" s="1773">
        <f t="shared" si="44"/>
        <v>-214</v>
      </c>
      <c r="M36" s="1773">
        <f t="shared" ref="M36" si="47">M33-M64</f>
        <v>-212</v>
      </c>
      <c r="N36" s="1774"/>
      <c r="O36" s="1775">
        <f t="shared" si="44"/>
        <v>-11660</v>
      </c>
      <c r="P36" s="1773">
        <f t="shared" ref="P36:Q36" si="48">P33-P64</f>
        <v>-20557</v>
      </c>
      <c r="Q36" s="1773">
        <f t="shared" si="48"/>
        <v>-15582.15</v>
      </c>
      <c r="R36" s="1777"/>
    </row>
    <row r="37" spans="1:18" ht="52.5" x14ac:dyDescent="0.4">
      <c r="A37" s="1610" t="s">
        <v>427</v>
      </c>
      <c r="B37" s="1733" t="s">
        <v>426</v>
      </c>
      <c r="C37" s="1745">
        <f>'2.Bevételek_részletes'!I38</f>
        <v>0</v>
      </c>
      <c r="D37" s="1746"/>
      <c r="E37" s="1746"/>
      <c r="F37" s="1747"/>
      <c r="G37" s="1748"/>
      <c r="H37" s="1746"/>
      <c r="I37" s="1746"/>
      <c r="J37" s="1757"/>
      <c r="K37" s="1745"/>
      <c r="L37" s="1746"/>
      <c r="M37" s="1746"/>
      <c r="N37" s="1747"/>
      <c r="O37" s="1748">
        <f>C37+G37+K37</f>
        <v>0</v>
      </c>
      <c r="P37" s="1746">
        <f>D37+H37+L37</f>
        <v>0</v>
      </c>
      <c r="Q37" s="1746">
        <f>E37+I37+M37</f>
        <v>0</v>
      </c>
      <c r="R37" s="1755"/>
    </row>
    <row r="38" spans="1:18" ht="52.5" x14ac:dyDescent="0.4">
      <c r="A38" s="1610" t="s">
        <v>429</v>
      </c>
      <c r="B38" s="1730" t="s">
        <v>428</v>
      </c>
      <c r="C38" s="1745">
        <f>'2.Bevételek_részletes'!I42</f>
        <v>0</v>
      </c>
      <c r="D38" s="1746">
        <f>'2.Bevételek_részletes'!J42</f>
        <v>950</v>
      </c>
      <c r="E38" s="1746">
        <f>'2.Bevételek_részletes'!K42</f>
        <v>950</v>
      </c>
      <c r="F38" s="1755">
        <f t="shared" ref="F38:F43" si="49">E38/D38%</f>
        <v>100</v>
      </c>
      <c r="G38" s="1748"/>
      <c r="H38" s="1746"/>
      <c r="I38" s="1746"/>
      <c r="J38" s="1757"/>
      <c r="K38" s="1745"/>
      <c r="L38" s="1746"/>
      <c r="M38" s="1746"/>
      <c r="N38" s="1747"/>
      <c r="O38" s="1748">
        <f>C38+G38+K38</f>
        <v>0</v>
      </c>
      <c r="P38" s="1746">
        <f>D38+H38+L38</f>
        <v>950</v>
      </c>
      <c r="Q38" s="1746">
        <f t="shared" ref="Q38:Q41" si="50">E38+I38+M38</f>
        <v>950</v>
      </c>
      <c r="R38" s="1755">
        <f t="shared" ref="R38" si="51">Q38/P38%</f>
        <v>100</v>
      </c>
    </row>
    <row r="39" spans="1:18" ht="52.5" x14ac:dyDescent="0.4">
      <c r="A39" s="1610" t="s">
        <v>429</v>
      </c>
      <c r="B39" s="1730" t="s">
        <v>430</v>
      </c>
      <c r="C39" s="1745">
        <f>'2.Bevételek_részletes'!I43</f>
        <v>0</v>
      </c>
      <c r="D39" s="1746"/>
      <c r="E39" s="1746"/>
      <c r="F39" s="1755"/>
      <c r="G39" s="1748"/>
      <c r="H39" s="1746"/>
      <c r="I39" s="1746"/>
      <c r="J39" s="1757"/>
      <c r="K39" s="1745"/>
      <c r="L39" s="1746"/>
      <c r="M39" s="1746"/>
      <c r="N39" s="1747"/>
      <c r="O39" s="1748">
        <f>C39+G39+K39</f>
        <v>0</v>
      </c>
      <c r="P39" s="1746">
        <f>D39+H39+L39</f>
        <v>0</v>
      </c>
      <c r="Q39" s="1746">
        <f t="shared" si="50"/>
        <v>0</v>
      </c>
      <c r="R39" s="1755"/>
    </row>
    <row r="40" spans="1:18" s="53" customFormat="1" ht="27.75" x14ac:dyDescent="0.4">
      <c r="A40" s="1612" t="s">
        <v>432</v>
      </c>
      <c r="B40" s="1731" t="s">
        <v>431</v>
      </c>
      <c r="C40" s="1750">
        <f>SUM(C38:C39)</f>
        <v>0</v>
      </c>
      <c r="D40" s="1751">
        <f t="shared" ref="D40:P40" si="52">SUM(D38:D39)</f>
        <v>950</v>
      </c>
      <c r="E40" s="1751">
        <f t="shared" ref="E40" si="53">SUM(E38:E39)</f>
        <v>950</v>
      </c>
      <c r="F40" s="1755">
        <f t="shared" si="49"/>
        <v>100</v>
      </c>
      <c r="G40" s="1753">
        <f t="shared" si="52"/>
        <v>0</v>
      </c>
      <c r="H40" s="1751">
        <f t="shared" si="52"/>
        <v>0</v>
      </c>
      <c r="I40" s="1751">
        <f t="shared" ref="I40:J40" si="54">SUM(I38:I39)</f>
        <v>0</v>
      </c>
      <c r="J40" s="1761">
        <f t="shared" si="54"/>
        <v>0</v>
      </c>
      <c r="K40" s="1750">
        <f t="shared" si="52"/>
        <v>0</v>
      </c>
      <c r="L40" s="1751">
        <f t="shared" si="52"/>
        <v>0</v>
      </c>
      <c r="M40" s="1751">
        <f t="shared" ref="M40" si="55">SUM(M38:M39)</f>
        <v>0</v>
      </c>
      <c r="N40" s="1752"/>
      <c r="O40" s="1753">
        <f t="shared" si="52"/>
        <v>0</v>
      </c>
      <c r="P40" s="1751">
        <f t="shared" si="52"/>
        <v>950</v>
      </c>
      <c r="Q40" s="1751">
        <f t="shared" si="50"/>
        <v>950</v>
      </c>
      <c r="R40" s="1756">
        <f t="shared" ref="R40:R43" si="56">Q40/P40%</f>
        <v>100</v>
      </c>
    </row>
    <row r="41" spans="1:18" ht="27.75" x14ac:dyDescent="0.4">
      <c r="A41" s="1610" t="s">
        <v>434</v>
      </c>
      <c r="B41" s="1730" t="s">
        <v>433</v>
      </c>
      <c r="C41" s="1745">
        <f>'2.Bevételek_részletes'!I46</f>
        <v>439179.98200000002</v>
      </c>
      <c r="D41" s="1746">
        <f>'2.Bevételek_részletes'!J46</f>
        <v>432558.98200000002</v>
      </c>
      <c r="E41" s="1746">
        <f>'2.Bevételek_részletes'!K46</f>
        <v>377762</v>
      </c>
      <c r="F41" s="1755">
        <f t="shared" si="49"/>
        <v>87.331905178193708</v>
      </c>
      <c r="G41" s="1748"/>
      <c r="H41" s="1746"/>
      <c r="I41" s="1746"/>
      <c r="J41" s="1757"/>
      <c r="K41" s="1745"/>
      <c r="L41" s="1746"/>
      <c r="M41" s="1746"/>
      <c r="N41" s="1747"/>
      <c r="O41" s="1748">
        <f>C41+G41+K41</f>
        <v>439179.98200000002</v>
      </c>
      <c r="P41" s="1746">
        <f>D41+H41+L41</f>
        <v>432558.98200000002</v>
      </c>
      <c r="Q41" s="1746">
        <f t="shared" si="50"/>
        <v>377762</v>
      </c>
      <c r="R41" s="1755">
        <f t="shared" si="56"/>
        <v>87.331905178193708</v>
      </c>
    </row>
    <row r="42" spans="1:18" ht="27" x14ac:dyDescent="0.35">
      <c r="A42" s="1727" t="s">
        <v>442</v>
      </c>
      <c r="B42" s="1738" t="s">
        <v>441</v>
      </c>
      <c r="C42" s="1767">
        <f>C37+C40+C41</f>
        <v>439179.98200000002</v>
      </c>
      <c r="D42" s="1768">
        <f>D37+D40+D41</f>
        <v>433508.98200000002</v>
      </c>
      <c r="E42" s="1768">
        <f>E37+E40+E41</f>
        <v>378712</v>
      </c>
      <c r="F42" s="1769">
        <f t="shared" si="49"/>
        <v>87.359666287145117</v>
      </c>
      <c r="G42" s="1770">
        <f>G37+G40+G41</f>
        <v>0</v>
      </c>
      <c r="H42" s="1768"/>
      <c r="I42" s="1768"/>
      <c r="J42" s="1771"/>
      <c r="K42" s="1767">
        <f>K37+K40+K41</f>
        <v>0</v>
      </c>
      <c r="L42" s="1768"/>
      <c r="M42" s="1768"/>
      <c r="N42" s="1778"/>
      <c r="O42" s="1770">
        <f>C42+G42+K42</f>
        <v>439179.98200000002</v>
      </c>
      <c r="P42" s="1768">
        <f>D42+H42+L42</f>
        <v>433508.98200000002</v>
      </c>
      <c r="Q42" s="1768">
        <f>E42+I42+M42</f>
        <v>378712</v>
      </c>
      <c r="R42" s="1769">
        <f t="shared" si="56"/>
        <v>87.359666287145117</v>
      </c>
    </row>
    <row r="43" spans="1:18" ht="27.75" thickBot="1" x14ac:dyDescent="0.4">
      <c r="A43" s="1613"/>
      <c r="B43" s="1739" t="s">
        <v>356</v>
      </c>
      <c r="C43" s="1779">
        <f>C34+C42</f>
        <v>484475.18200000003</v>
      </c>
      <c r="D43" s="1780">
        <f t="shared" ref="D43:P43" si="57">D34+D42</f>
        <v>495044.00600000005</v>
      </c>
      <c r="E43" s="1780">
        <f t="shared" ref="E43" si="58">E34+E42</f>
        <v>428259.36</v>
      </c>
      <c r="F43" s="1781">
        <f t="shared" si="49"/>
        <v>86.509351655497056</v>
      </c>
      <c r="G43" s="1782">
        <f t="shared" si="57"/>
        <v>0</v>
      </c>
      <c r="H43" s="1780">
        <f t="shared" si="57"/>
        <v>4846.3500000000004</v>
      </c>
      <c r="I43" s="1780">
        <f t="shared" ref="I43" si="59">I34+I42</f>
        <v>5156.4719999999998</v>
      </c>
      <c r="J43" s="1783">
        <f>I43/H43%</f>
        <v>106.3990838466062</v>
      </c>
      <c r="K43" s="1779">
        <f t="shared" si="57"/>
        <v>73063</v>
      </c>
      <c r="L43" s="1780">
        <f t="shared" si="57"/>
        <v>65570</v>
      </c>
      <c r="M43" s="1780">
        <f t="shared" ref="M43" si="60">M34+M42</f>
        <v>65349</v>
      </c>
      <c r="N43" s="1781">
        <f>M43/L43%</f>
        <v>99.662955619948136</v>
      </c>
      <c r="O43" s="1782">
        <f t="shared" si="57"/>
        <v>557538.18200000003</v>
      </c>
      <c r="P43" s="1780">
        <f t="shared" si="57"/>
        <v>565460.35600000003</v>
      </c>
      <c r="Q43" s="1780">
        <f t="shared" ref="Q43" si="61">Q34+Q42</f>
        <v>498246.83199999999</v>
      </c>
      <c r="R43" s="1781">
        <f t="shared" si="56"/>
        <v>88.113486067270813</v>
      </c>
    </row>
    <row r="44" spans="1:18" ht="15" customHeight="1" thickBot="1" x14ac:dyDescent="0.3">
      <c r="A44" s="957"/>
      <c r="B44" s="957"/>
      <c r="C44" s="957"/>
      <c r="D44" s="957"/>
      <c r="E44" s="957"/>
      <c r="F44" s="957"/>
      <c r="G44" s="957"/>
      <c r="H44" s="957"/>
      <c r="I44" s="957"/>
      <c r="J44" s="957"/>
      <c r="K44" s="957"/>
      <c r="L44" s="957"/>
      <c r="M44" s="957"/>
      <c r="N44" s="957"/>
      <c r="O44" s="957"/>
      <c r="P44" s="957"/>
      <c r="Q44" s="957"/>
      <c r="R44" s="957"/>
    </row>
    <row r="45" spans="1:18" s="1493" customFormat="1" ht="26.25" x14ac:dyDescent="0.4">
      <c r="A45" s="2419" t="s">
        <v>364</v>
      </c>
      <c r="B45" s="2421" t="s">
        <v>804</v>
      </c>
      <c r="C45" s="2435" t="s">
        <v>152</v>
      </c>
      <c r="D45" s="2436"/>
      <c r="E45" s="2436"/>
      <c r="F45" s="2437"/>
      <c r="G45" s="2438" t="s">
        <v>1107</v>
      </c>
      <c r="H45" s="2436"/>
      <c r="I45" s="2436"/>
      <c r="J45" s="2439"/>
      <c r="K45" s="2435" t="s">
        <v>775</v>
      </c>
      <c r="L45" s="2436"/>
      <c r="M45" s="2436"/>
      <c r="N45" s="2437"/>
      <c r="O45" s="2435" t="s">
        <v>444</v>
      </c>
      <c r="P45" s="2436"/>
      <c r="Q45" s="2436"/>
      <c r="R45" s="2437"/>
    </row>
    <row r="46" spans="1:18" s="855" customFormat="1" ht="131.25" customHeight="1" x14ac:dyDescent="0.3">
      <c r="A46" s="2431"/>
      <c r="B46" s="2432" t="s">
        <v>799</v>
      </c>
      <c r="C46" s="1317" t="s">
        <v>1004</v>
      </c>
      <c r="D46" s="1318" t="s">
        <v>1066</v>
      </c>
      <c r="E46" s="1318" t="s">
        <v>1103</v>
      </c>
      <c r="F46" s="1319" t="s">
        <v>1084</v>
      </c>
      <c r="G46" s="1320" t="s">
        <v>1005</v>
      </c>
      <c r="H46" s="1318" t="s">
        <v>1067</v>
      </c>
      <c r="I46" s="1318" t="s">
        <v>1106</v>
      </c>
      <c r="J46" s="1321" t="s">
        <v>1084</v>
      </c>
      <c r="K46" s="1317" t="s">
        <v>1006</v>
      </c>
      <c r="L46" s="1318" t="s">
        <v>1068</v>
      </c>
      <c r="M46" s="1318" t="s">
        <v>1109</v>
      </c>
      <c r="N46" s="1319" t="s">
        <v>1084</v>
      </c>
      <c r="O46" s="1317" t="s">
        <v>1007</v>
      </c>
      <c r="P46" s="1318" t="s">
        <v>1069</v>
      </c>
      <c r="Q46" s="1318" t="s">
        <v>1108</v>
      </c>
      <c r="R46" s="1319" t="s">
        <v>1084</v>
      </c>
    </row>
    <row r="47" spans="1:18" ht="27.75" x14ac:dyDescent="0.4">
      <c r="A47" s="1728" t="s">
        <v>288</v>
      </c>
      <c r="B47" s="1740" t="s">
        <v>289</v>
      </c>
      <c r="C47" s="1745">
        <f>'2.Kiadások_részletes '!I11-K47</f>
        <v>264159</v>
      </c>
      <c r="D47" s="1746">
        <f>'2.Kiadások_részletes '!J11-L47</f>
        <v>257379</v>
      </c>
      <c r="E47" s="1746">
        <f>'2.Kiadások_részletes '!K11-M47</f>
        <v>235724</v>
      </c>
      <c r="F47" s="1755">
        <f>E47/D47%</f>
        <v>91.586337657695466</v>
      </c>
      <c r="G47" s="1748"/>
      <c r="H47" s="1746"/>
      <c r="I47" s="1746"/>
      <c r="J47" s="1749"/>
      <c r="K47" s="1745">
        <v>6500</v>
      </c>
      <c r="L47" s="1746">
        <f>17059</f>
        <v>17059</v>
      </c>
      <c r="M47" s="1758">
        <v>11574</v>
      </c>
      <c r="N47" s="1755">
        <f>M47/L47%</f>
        <v>67.846884342575763</v>
      </c>
      <c r="O47" s="1745">
        <f t="shared" ref="O47:Q50" si="62">C47+G47+K47</f>
        <v>270659</v>
      </c>
      <c r="P47" s="1746">
        <f t="shared" si="62"/>
        <v>274438</v>
      </c>
      <c r="Q47" s="1746">
        <f t="shared" si="62"/>
        <v>247298</v>
      </c>
      <c r="R47" s="1755">
        <f>Q47/P47%</f>
        <v>90.110698955683972</v>
      </c>
    </row>
    <row r="48" spans="1:18" ht="52.5" x14ac:dyDescent="0.4">
      <c r="A48" s="1728" t="s">
        <v>290</v>
      </c>
      <c r="B48" s="1730" t="s">
        <v>291</v>
      </c>
      <c r="C48" s="1745">
        <f>'2.Kiadások_részletes '!I12-K48</f>
        <v>58670</v>
      </c>
      <c r="D48" s="1746">
        <f>'2.Kiadások_részletes '!J12-L48</f>
        <v>60057</v>
      </c>
      <c r="E48" s="1746">
        <f>'2.Kiadások_részletes '!K12-M48</f>
        <v>57248</v>
      </c>
      <c r="F48" s="1755">
        <f>E48/D48%</f>
        <v>95.322776695472626</v>
      </c>
      <c r="G48" s="1748"/>
      <c r="H48" s="1746"/>
      <c r="I48" s="1746"/>
      <c r="J48" s="1749"/>
      <c r="K48" s="1745">
        <v>1430</v>
      </c>
      <c r="L48" s="1746">
        <f>4327</f>
        <v>4327</v>
      </c>
      <c r="M48" s="1758">
        <v>2958</v>
      </c>
      <c r="N48" s="1755">
        <f>M48/L48%</f>
        <v>68.361451351975958</v>
      </c>
      <c r="O48" s="1745">
        <f t="shared" si="62"/>
        <v>60100</v>
      </c>
      <c r="P48" s="1746">
        <f t="shared" si="62"/>
        <v>64384</v>
      </c>
      <c r="Q48" s="1746">
        <f t="shared" si="62"/>
        <v>60206</v>
      </c>
      <c r="R48" s="1755">
        <f>Q48/P48%</f>
        <v>93.510810139165002</v>
      </c>
    </row>
    <row r="49" spans="1:18" ht="27.75" x14ac:dyDescent="0.4">
      <c r="A49" s="1728" t="s">
        <v>292</v>
      </c>
      <c r="B49" s="1730" t="s">
        <v>293</v>
      </c>
      <c r="C49" s="1745">
        <f>'2.Kiadások_részletes '!I13-K49</f>
        <v>178851.356</v>
      </c>
      <c r="D49" s="1746">
        <f>'2.Kiadások_részletes '!J13-L49-H49</f>
        <v>153386.356</v>
      </c>
      <c r="E49" s="1746">
        <f>'2.Kiadások_részletes '!K13-M49-I49</f>
        <v>117344</v>
      </c>
      <c r="F49" s="1755">
        <f>E49/D49%</f>
        <v>76.502241177174852</v>
      </c>
      <c r="G49" s="1748"/>
      <c r="H49" s="1746">
        <v>8006</v>
      </c>
      <c r="I49" s="1758">
        <v>8003</v>
      </c>
      <c r="J49" s="1757">
        <f>I49/H49%</f>
        <v>99.962528103922054</v>
      </c>
      <c r="K49" s="1745">
        <v>32468</v>
      </c>
      <c r="L49" s="1746">
        <v>40834</v>
      </c>
      <c r="M49" s="1758">
        <v>44112</v>
      </c>
      <c r="N49" s="1755">
        <f>M49/L49%</f>
        <v>108.02762403879122</v>
      </c>
      <c r="O49" s="1745">
        <f t="shared" si="62"/>
        <v>211319.356</v>
      </c>
      <c r="P49" s="1746">
        <f t="shared" si="62"/>
        <v>202226.356</v>
      </c>
      <c r="Q49" s="1746">
        <f t="shared" si="62"/>
        <v>169459</v>
      </c>
      <c r="R49" s="1755">
        <f>Q49/P49%</f>
        <v>83.796693641653704</v>
      </c>
    </row>
    <row r="50" spans="1:18" ht="27.75" x14ac:dyDescent="0.4">
      <c r="A50" s="1728" t="s">
        <v>294</v>
      </c>
      <c r="B50" s="1733" t="s">
        <v>39</v>
      </c>
      <c r="C50" s="1745">
        <f>'2.Kiadások_részletes '!I14</f>
        <v>3800</v>
      </c>
      <c r="D50" s="1746">
        <f>'2.Kiadások_részletes '!J14</f>
        <v>3855</v>
      </c>
      <c r="E50" s="1746">
        <f>'2.Kiadások_részletes '!K14</f>
        <v>3037</v>
      </c>
      <c r="F50" s="1755">
        <f>E50/D50%</f>
        <v>78.78080415045396</v>
      </c>
      <c r="G50" s="1748"/>
      <c r="H50" s="1746"/>
      <c r="I50" s="1746"/>
      <c r="J50" s="1749"/>
      <c r="K50" s="1745"/>
      <c r="L50" s="1746"/>
      <c r="M50" s="1758"/>
      <c r="N50" s="1747"/>
      <c r="O50" s="1745">
        <f t="shared" si="62"/>
        <v>3800</v>
      </c>
      <c r="P50" s="1746">
        <f t="shared" si="62"/>
        <v>3855</v>
      </c>
      <c r="Q50" s="1746">
        <f t="shared" si="62"/>
        <v>3037</v>
      </c>
      <c r="R50" s="1755">
        <f>Q50/P50%</f>
        <v>78.78080415045396</v>
      </c>
    </row>
    <row r="51" spans="1:18" ht="27.75" x14ac:dyDescent="0.4">
      <c r="A51" s="1728" t="s">
        <v>120</v>
      </c>
      <c r="B51" s="1733" t="s">
        <v>121</v>
      </c>
      <c r="C51" s="1745"/>
      <c r="D51" s="1746">
        <f>'2.Kiadások_részletes '!J15</f>
        <v>0</v>
      </c>
      <c r="E51" s="1746">
        <f>'2.Kiadások_részletes '!K15</f>
        <v>0</v>
      </c>
      <c r="F51" s="1755"/>
      <c r="G51" s="1748"/>
      <c r="H51" s="1746"/>
      <c r="I51" s="1746"/>
      <c r="J51" s="1749"/>
      <c r="K51" s="1745"/>
      <c r="L51" s="1746"/>
      <c r="M51" s="1758"/>
      <c r="N51" s="1747"/>
      <c r="O51" s="1745">
        <f t="shared" ref="O51" si="63">C51+G51+K51</f>
        <v>0</v>
      </c>
      <c r="P51" s="1746">
        <f t="shared" ref="P51:Q51" si="64">D51+H51+L51</f>
        <v>0</v>
      </c>
      <c r="Q51" s="1746">
        <f t="shared" si="64"/>
        <v>0</v>
      </c>
      <c r="R51" s="1747"/>
    </row>
    <row r="52" spans="1:18" ht="52.5" x14ac:dyDescent="0.4">
      <c r="A52" s="1728" t="s">
        <v>295</v>
      </c>
      <c r="B52" s="1741" t="s">
        <v>296</v>
      </c>
      <c r="C52" s="1745">
        <f>'2.Kiadások_részletes '!I16</f>
        <v>0</v>
      </c>
      <c r="D52" s="1746">
        <f t="shared" ref="D52:E61" si="65">C52</f>
        <v>0</v>
      </c>
      <c r="E52" s="1746">
        <f t="shared" si="65"/>
        <v>0</v>
      </c>
      <c r="F52" s="1755"/>
      <c r="G52" s="1748"/>
      <c r="H52" s="1746"/>
      <c r="I52" s="1746"/>
      <c r="J52" s="1749"/>
      <c r="K52" s="1745"/>
      <c r="L52" s="1746"/>
      <c r="M52" s="1758"/>
      <c r="N52" s="1747"/>
      <c r="O52" s="1745">
        <f t="shared" ref="O52:Q56" si="66">C52+G52+K52</f>
        <v>0</v>
      </c>
      <c r="P52" s="1746">
        <f t="shared" si="66"/>
        <v>0</v>
      </c>
      <c r="Q52" s="1746">
        <f t="shared" si="66"/>
        <v>0</v>
      </c>
      <c r="R52" s="1747"/>
    </row>
    <row r="53" spans="1:18" ht="52.5" x14ac:dyDescent="0.4">
      <c r="A53" s="1728" t="s">
        <v>298</v>
      </c>
      <c r="B53" s="1741" t="s">
        <v>297</v>
      </c>
      <c r="C53" s="1745">
        <f>'2.Kiadások_részletes '!I17</f>
        <v>0</v>
      </c>
      <c r="D53" s="1746">
        <f t="shared" si="65"/>
        <v>0</v>
      </c>
      <c r="E53" s="1746">
        <f t="shared" si="65"/>
        <v>0</v>
      </c>
      <c r="F53" s="1755"/>
      <c r="G53" s="1748"/>
      <c r="H53" s="1746"/>
      <c r="I53" s="1746"/>
      <c r="J53" s="1749"/>
      <c r="K53" s="1745"/>
      <c r="L53" s="1746"/>
      <c r="M53" s="1758"/>
      <c r="N53" s="1747"/>
      <c r="O53" s="1745">
        <f t="shared" si="66"/>
        <v>0</v>
      </c>
      <c r="P53" s="1746">
        <f t="shared" si="66"/>
        <v>0</v>
      </c>
      <c r="Q53" s="1746">
        <f t="shared" si="66"/>
        <v>0</v>
      </c>
      <c r="R53" s="1747"/>
    </row>
    <row r="54" spans="1:18" ht="27.75" x14ac:dyDescent="0.4">
      <c r="A54" s="1728" t="s">
        <v>785</v>
      </c>
      <c r="B54" s="1742" t="s">
        <v>299</v>
      </c>
      <c r="C54" s="1745"/>
      <c r="D54" s="1746">
        <f t="shared" si="65"/>
        <v>0</v>
      </c>
      <c r="E54" s="1746">
        <f t="shared" si="65"/>
        <v>0</v>
      </c>
      <c r="F54" s="1755"/>
      <c r="G54" s="1748"/>
      <c r="H54" s="1746"/>
      <c r="I54" s="1746"/>
      <c r="J54" s="1749"/>
      <c r="K54" s="1745"/>
      <c r="L54" s="1746"/>
      <c r="M54" s="1758"/>
      <c r="N54" s="1747"/>
      <c r="O54" s="1745">
        <f t="shared" si="66"/>
        <v>0</v>
      </c>
      <c r="P54" s="1746">
        <f t="shared" si="66"/>
        <v>0</v>
      </c>
      <c r="Q54" s="1746">
        <f t="shared" si="66"/>
        <v>0</v>
      </c>
      <c r="R54" s="1747"/>
    </row>
    <row r="55" spans="1:18" ht="27.75" x14ac:dyDescent="0.4">
      <c r="A55" s="1728" t="s">
        <v>785</v>
      </c>
      <c r="B55" s="1742" t="s">
        <v>155</v>
      </c>
      <c r="C55" s="1745"/>
      <c r="D55" s="1746">
        <f t="shared" si="65"/>
        <v>0</v>
      </c>
      <c r="E55" s="1746">
        <f t="shared" si="65"/>
        <v>0</v>
      </c>
      <c r="F55" s="1755"/>
      <c r="G55" s="1748"/>
      <c r="H55" s="1746"/>
      <c r="I55" s="1746"/>
      <c r="J55" s="1749"/>
      <c r="K55" s="1745"/>
      <c r="L55" s="1746"/>
      <c r="M55" s="1758"/>
      <c r="N55" s="1747"/>
      <c r="O55" s="1745">
        <f t="shared" si="66"/>
        <v>0</v>
      </c>
      <c r="P55" s="1746">
        <f t="shared" si="66"/>
        <v>0</v>
      </c>
      <c r="Q55" s="1746">
        <f t="shared" si="66"/>
        <v>0</v>
      </c>
      <c r="R55" s="1747"/>
    </row>
    <row r="56" spans="1:18" ht="27.75" x14ac:dyDescent="0.4">
      <c r="A56" s="1728" t="s">
        <v>785</v>
      </c>
      <c r="B56" s="1742" t="s">
        <v>300</v>
      </c>
      <c r="C56" s="1745"/>
      <c r="D56" s="1746">
        <f t="shared" si="65"/>
        <v>0</v>
      </c>
      <c r="E56" s="1746">
        <f t="shared" si="65"/>
        <v>0</v>
      </c>
      <c r="F56" s="1755"/>
      <c r="G56" s="1748"/>
      <c r="H56" s="1746"/>
      <c r="I56" s="1746"/>
      <c r="J56" s="1749"/>
      <c r="K56" s="1745"/>
      <c r="L56" s="1746"/>
      <c r="M56" s="1758"/>
      <c r="N56" s="1747"/>
      <c r="O56" s="1745">
        <f t="shared" si="66"/>
        <v>0</v>
      </c>
      <c r="P56" s="1746">
        <f t="shared" si="66"/>
        <v>0</v>
      </c>
      <c r="Q56" s="1746">
        <f t="shared" si="66"/>
        <v>0</v>
      </c>
      <c r="R56" s="1747"/>
    </row>
    <row r="57" spans="1:18" ht="27.75" x14ac:dyDescent="0.4">
      <c r="A57" s="1728" t="s">
        <v>301</v>
      </c>
      <c r="B57" s="1733" t="s">
        <v>302</v>
      </c>
      <c r="C57" s="1745">
        <f>SUM(C52:C56)</f>
        <v>0</v>
      </c>
      <c r="D57" s="1746">
        <f t="shared" ref="D57:P57" si="67">SUM(D52:D56)</f>
        <v>0</v>
      </c>
      <c r="E57" s="1746">
        <f t="shared" ref="E57" si="68">SUM(E52:E56)</f>
        <v>0</v>
      </c>
      <c r="F57" s="1755"/>
      <c r="G57" s="1748">
        <f t="shared" si="67"/>
        <v>0</v>
      </c>
      <c r="H57" s="1746">
        <f t="shared" si="67"/>
        <v>0</v>
      </c>
      <c r="I57" s="1746"/>
      <c r="J57" s="1749"/>
      <c r="K57" s="1745">
        <f t="shared" si="67"/>
        <v>0</v>
      </c>
      <c r="L57" s="1746">
        <f t="shared" si="67"/>
        <v>0</v>
      </c>
      <c r="M57" s="1758"/>
      <c r="N57" s="1747"/>
      <c r="O57" s="1745">
        <f t="shared" si="67"/>
        <v>0</v>
      </c>
      <c r="P57" s="1746">
        <f t="shared" si="67"/>
        <v>0</v>
      </c>
      <c r="Q57" s="1746">
        <f t="shared" ref="Q57" si="69">SUM(Q52:Q56)</f>
        <v>0</v>
      </c>
      <c r="R57" s="1747"/>
    </row>
    <row r="58" spans="1:18" ht="27.75" x14ac:dyDescent="0.4">
      <c r="A58" s="1728" t="s">
        <v>303</v>
      </c>
      <c r="B58" s="1743" t="s">
        <v>446</v>
      </c>
      <c r="C58" s="1745">
        <f>'2.Kiadások_részletes '!I21-K58</f>
        <v>5810</v>
      </c>
      <c r="D58" s="1746">
        <f>'2.Kiadások_részletes '!J21-H58-L58</f>
        <v>19786</v>
      </c>
      <c r="E58" s="1746">
        <f>'2.Kiadások_részletes '!K21-I58-M58</f>
        <v>14854.15</v>
      </c>
      <c r="F58" s="1755">
        <f>E58/D58%</f>
        <v>75.074042252097442</v>
      </c>
      <c r="G58" s="1748"/>
      <c r="H58" s="1746">
        <v>557</v>
      </c>
      <c r="I58" s="1758">
        <v>516</v>
      </c>
      <c r="J58" s="1757">
        <f>I58/H58%</f>
        <v>92.639138240574496</v>
      </c>
      <c r="K58" s="1745">
        <f>4350+1500</f>
        <v>5850</v>
      </c>
      <c r="L58" s="1746">
        <v>214</v>
      </c>
      <c r="M58" s="1758">
        <v>212</v>
      </c>
      <c r="N58" s="1755">
        <f>M58/L58%</f>
        <v>99.065420560747654</v>
      </c>
      <c r="O58" s="1745">
        <f t="shared" ref="O58:Q61" si="70">C58+G58+K58</f>
        <v>11660</v>
      </c>
      <c r="P58" s="1746">
        <f t="shared" si="70"/>
        <v>20557</v>
      </c>
      <c r="Q58" s="1746">
        <f t="shared" si="70"/>
        <v>15582.15</v>
      </c>
      <c r="R58" s="1755">
        <f>Q58/P58%</f>
        <v>75.799727586710119</v>
      </c>
    </row>
    <row r="59" spans="1:18" ht="27.75" x14ac:dyDescent="0.4">
      <c r="A59" s="1728" t="s">
        <v>304</v>
      </c>
      <c r="B59" s="1733" t="s">
        <v>305</v>
      </c>
      <c r="C59" s="1745">
        <f>'2.Kiadások_részletes '!I22</f>
        <v>0</v>
      </c>
      <c r="D59" s="1746">
        <f t="shared" si="65"/>
        <v>0</v>
      </c>
      <c r="E59" s="1746">
        <f t="shared" si="65"/>
        <v>0</v>
      </c>
      <c r="F59" s="1755"/>
      <c r="G59" s="1748"/>
      <c r="H59" s="1746"/>
      <c r="I59" s="1746"/>
      <c r="J59" s="1749"/>
      <c r="K59" s="1745"/>
      <c r="L59" s="1746"/>
      <c r="M59" s="1758"/>
      <c r="N59" s="1747"/>
      <c r="O59" s="1745">
        <f t="shared" si="70"/>
        <v>0</v>
      </c>
      <c r="P59" s="1746">
        <f t="shared" si="70"/>
        <v>0</v>
      </c>
      <c r="Q59" s="1746">
        <f t="shared" si="70"/>
        <v>0</v>
      </c>
      <c r="R59" s="1747"/>
    </row>
    <row r="60" spans="1:18" ht="52.5" x14ac:dyDescent="0.4">
      <c r="A60" s="1728" t="s">
        <v>251</v>
      </c>
      <c r="B60" s="1733" t="s">
        <v>154</v>
      </c>
      <c r="C60" s="1745">
        <f>'2.Kiadások_részletes '!I23</f>
        <v>0</v>
      </c>
      <c r="D60" s="1746">
        <f t="shared" si="65"/>
        <v>0</v>
      </c>
      <c r="E60" s="1746">
        <f t="shared" si="65"/>
        <v>0</v>
      </c>
      <c r="F60" s="1755"/>
      <c r="G60" s="1748"/>
      <c r="H60" s="1746"/>
      <c r="I60" s="1746"/>
      <c r="J60" s="1749"/>
      <c r="K60" s="1745"/>
      <c r="L60" s="1746"/>
      <c r="M60" s="1746"/>
      <c r="N60" s="1747"/>
      <c r="O60" s="1745">
        <f t="shared" si="70"/>
        <v>0</v>
      </c>
      <c r="P60" s="1746">
        <f t="shared" si="70"/>
        <v>0</v>
      </c>
      <c r="Q60" s="1746">
        <f t="shared" si="70"/>
        <v>0</v>
      </c>
      <c r="R60" s="1747"/>
    </row>
    <row r="61" spans="1:18" ht="52.5" x14ac:dyDescent="0.4">
      <c r="A61" s="1728" t="s">
        <v>306</v>
      </c>
      <c r="B61" s="1733" t="s">
        <v>307</v>
      </c>
      <c r="C61" s="1745">
        <f>'2.Kiadások_részletes '!I24</f>
        <v>0</v>
      </c>
      <c r="D61" s="1746">
        <f t="shared" si="65"/>
        <v>0</v>
      </c>
      <c r="E61" s="1746">
        <f t="shared" si="65"/>
        <v>0</v>
      </c>
      <c r="F61" s="1755"/>
      <c r="G61" s="1748"/>
      <c r="H61" s="1746"/>
      <c r="I61" s="1746"/>
      <c r="J61" s="1749"/>
      <c r="K61" s="1745"/>
      <c r="L61" s="1746"/>
      <c r="M61" s="1746"/>
      <c r="N61" s="1747"/>
      <c r="O61" s="1745">
        <f t="shared" si="70"/>
        <v>0</v>
      </c>
      <c r="P61" s="1746">
        <f t="shared" si="70"/>
        <v>0</v>
      </c>
      <c r="Q61" s="1746">
        <f t="shared" si="70"/>
        <v>0</v>
      </c>
      <c r="R61" s="1747"/>
    </row>
    <row r="62" spans="1:18" ht="27.75" x14ac:dyDescent="0.4">
      <c r="A62" s="1728" t="s">
        <v>308</v>
      </c>
      <c r="B62" s="1733" t="s">
        <v>309</v>
      </c>
      <c r="C62" s="1745">
        <f>SUM(C60:C61)</f>
        <v>0</v>
      </c>
      <c r="D62" s="1746">
        <f t="shared" ref="D62:P62" si="71">SUM(D60:D61)</f>
        <v>0</v>
      </c>
      <c r="E62" s="1746">
        <f t="shared" ref="E62" si="72">SUM(E60:E61)</f>
        <v>0</v>
      </c>
      <c r="F62" s="1755"/>
      <c r="G62" s="1748">
        <f t="shared" si="71"/>
        <v>0</v>
      </c>
      <c r="H62" s="1746">
        <f t="shared" si="71"/>
        <v>0</v>
      </c>
      <c r="I62" s="1746"/>
      <c r="J62" s="1749"/>
      <c r="K62" s="1745">
        <f t="shared" si="71"/>
        <v>0</v>
      </c>
      <c r="L62" s="1746">
        <f t="shared" si="71"/>
        <v>0</v>
      </c>
      <c r="M62" s="1746"/>
      <c r="N62" s="1747"/>
      <c r="O62" s="1745">
        <f t="shared" si="71"/>
        <v>0</v>
      </c>
      <c r="P62" s="1746">
        <f t="shared" si="71"/>
        <v>0</v>
      </c>
      <c r="Q62" s="1746">
        <f t="shared" ref="Q62" si="73">SUM(Q60:Q61)</f>
        <v>0</v>
      </c>
      <c r="R62" s="1747"/>
    </row>
    <row r="63" spans="1:18" ht="27.75" x14ac:dyDescent="0.4">
      <c r="A63" s="1729"/>
      <c r="B63" s="1744" t="s">
        <v>324</v>
      </c>
      <c r="C63" s="1784">
        <f>SUM(C47:C50,C57)</f>
        <v>505480.35600000003</v>
      </c>
      <c r="D63" s="1785">
        <f t="shared" ref="D63:O63" si="74">SUM(D47:D50,D57)</f>
        <v>474677.35600000003</v>
      </c>
      <c r="E63" s="1785">
        <f t="shared" ref="E63" si="75">SUM(E47:E50,E57)</f>
        <v>413353</v>
      </c>
      <c r="F63" s="1786">
        <f>E63/D63%</f>
        <v>87.080833912793594</v>
      </c>
      <c r="G63" s="1787">
        <f t="shared" si="74"/>
        <v>0</v>
      </c>
      <c r="H63" s="1785">
        <f t="shared" si="74"/>
        <v>8006</v>
      </c>
      <c r="I63" s="1785">
        <f t="shared" ref="I63" si="76">SUM(I47:I50,I57)</f>
        <v>8003</v>
      </c>
      <c r="J63" s="1788">
        <f>I63/H63%</f>
        <v>99.962528103922054</v>
      </c>
      <c r="K63" s="1784">
        <f t="shared" si="74"/>
        <v>40398</v>
      </c>
      <c r="L63" s="1785">
        <f t="shared" si="74"/>
        <v>62220</v>
      </c>
      <c r="M63" s="1785">
        <f t="shared" ref="M63" si="77">SUM(M47:M50,M57)</f>
        <v>58644</v>
      </c>
      <c r="N63" s="1786">
        <f>M63/L63%</f>
        <v>94.252651880424295</v>
      </c>
      <c r="O63" s="1784">
        <f t="shared" si="74"/>
        <v>545878.35600000003</v>
      </c>
      <c r="P63" s="1785">
        <f t="shared" ref="P63:Q63" si="78">SUM(P47:P50,P57)</f>
        <v>544903.35600000003</v>
      </c>
      <c r="Q63" s="1785">
        <f t="shared" si="78"/>
        <v>480000</v>
      </c>
      <c r="R63" s="1786">
        <f>Q63/P63%</f>
        <v>88.089015183088719</v>
      </c>
    </row>
    <row r="64" spans="1:18" ht="27.75" x14ac:dyDescent="0.4">
      <c r="A64" s="1729"/>
      <c r="B64" s="1744" t="s">
        <v>325</v>
      </c>
      <c r="C64" s="1784">
        <f>SUM(C58:C62,C62)</f>
        <v>5810</v>
      </c>
      <c r="D64" s="1785">
        <f t="shared" ref="D64:O64" si="79">SUM(D58:D62,D62)</f>
        <v>19786</v>
      </c>
      <c r="E64" s="1785">
        <f t="shared" ref="E64" si="80">SUM(E58:E62,E62)</f>
        <v>14854.15</v>
      </c>
      <c r="F64" s="1786">
        <f>E64/D64%</f>
        <v>75.074042252097442</v>
      </c>
      <c r="G64" s="1787">
        <f t="shared" si="79"/>
        <v>0</v>
      </c>
      <c r="H64" s="1785">
        <f t="shared" si="79"/>
        <v>557</v>
      </c>
      <c r="I64" s="1785">
        <f t="shared" ref="I64" si="81">SUM(I58:I62,I62)</f>
        <v>516</v>
      </c>
      <c r="J64" s="1788">
        <f>I64/H64%</f>
        <v>92.639138240574496</v>
      </c>
      <c r="K64" s="1784">
        <f t="shared" si="79"/>
        <v>5850</v>
      </c>
      <c r="L64" s="1785">
        <f t="shared" si="79"/>
        <v>214</v>
      </c>
      <c r="M64" s="1785">
        <f t="shared" ref="M64" si="82">SUM(M58:M62,M62)</f>
        <v>212</v>
      </c>
      <c r="N64" s="1786">
        <f>M64/L64%</f>
        <v>99.065420560747654</v>
      </c>
      <c r="O64" s="1784">
        <f t="shared" si="79"/>
        <v>11660</v>
      </c>
      <c r="P64" s="1785">
        <f t="shared" ref="P64:Q64" si="83">SUM(P58:P62,P62)</f>
        <v>20557</v>
      </c>
      <c r="Q64" s="1785">
        <f t="shared" si="83"/>
        <v>15582.15</v>
      </c>
      <c r="R64" s="1786">
        <f>Q64/P64%</f>
        <v>75.799727586710119</v>
      </c>
    </row>
    <row r="65" spans="1:18" ht="27" x14ac:dyDescent="0.35">
      <c r="A65" s="1609" t="s">
        <v>310</v>
      </c>
      <c r="B65" s="1736" t="s">
        <v>311</v>
      </c>
      <c r="C65" s="1767">
        <f>C63+C64</f>
        <v>511290.35600000003</v>
      </c>
      <c r="D65" s="1768">
        <f t="shared" ref="D65:P65" si="84">D63+D64</f>
        <v>494463.35600000003</v>
      </c>
      <c r="E65" s="1768">
        <f t="shared" ref="E65" si="85">E63+E64</f>
        <v>428207.15</v>
      </c>
      <c r="F65" s="1769">
        <f>E65/D65%</f>
        <v>86.600380959271732</v>
      </c>
      <c r="G65" s="1770">
        <f t="shared" si="84"/>
        <v>0</v>
      </c>
      <c r="H65" s="1768">
        <f t="shared" si="84"/>
        <v>8563</v>
      </c>
      <c r="I65" s="1768">
        <f t="shared" ref="I65" si="86">I63+I64</f>
        <v>8519</v>
      </c>
      <c r="J65" s="1771">
        <f>I65/H65%</f>
        <v>99.486161392035513</v>
      </c>
      <c r="K65" s="1767">
        <f t="shared" si="84"/>
        <v>46248</v>
      </c>
      <c r="L65" s="1768">
        <f t="shared" si="84"/>
        <v>62434</v>
      </c>
      <c r="M65" s="1768">
        <f t="shared" ref="M65" si="87">M63+M64</f>
        <v>58856</v>
      </c>
      <c r="N65" s="1769">
        <f>M65/L65%</f>
        <v>94.269148220520862</v>
      </c>
      <c r="O65" s="1767">
        <f t="shared" si="84"/>
        <v>557538.35600000003</v>
      </c>
      <c r="P65" s="1768">
        <f t="shared" si="84"/>
        <v>565460.35600000003</v>
      </c>
      <c r="Q65" s="1768">
        <f t="shared" ref="Q65" si="88">Q63+Q64</f>
        <v>495582.15</v>
      </c>
      <c r="R65" s="1769">
        <f>Q65/P65%</f>
        <v>87.642244896828799</v>
      </c>
    </row>
    <row r="66" spans="1:18" ht="52.5" x14ac:dyDescent="0.2">
      <c r="A66" s="1610" t="s">
        <v>312</v>
      </c>
      <c r="B66" s="1733" t="s">
        <v>252</v>
      </c>
      <c r="C66" s="1789">
        <f>'2.Kiadások_részletes '!I30</f>
        <v>0</v>
      </c>
      <c r="D66" s="1790"/>
      <c r="E66" s="1790"/>
      <c r="F66" s="1791"/>
      <c r="G66" s="1792"/>
      <c r="H66" s="1790"/>
      <c r="I66" s="1790"/>
      <c r="J66" s="1793"/>
      <c r="K66" s="1794"/>
      <c r="L66" s="1790"/>
      <c r="M66" s="1790"/>
      <c r="N66" s="1791"/>
      <c r="O66" s="1789">
        <f t="shared" ref="O66:Q67" si="89">C66+G66+K66</f>
        <v>0</v>
      </c>
      <c r="P66" s="1795">
        <f t="shared" si="89"/>
        <v>0</v>
      </c>
      <c r="Q66" s="1795">
        <f t="shared" si="89"/>
        <v>0</v>
      </c>
      <c r="R66" s="1791"/>
    </row>
    <row r="67" spans="1:18" ht="52.5" x14ac:dyDescent="0.2">
      <c r="A67" s="1610" t="s">
        <v>326</v>
      </c>
      <c r="B67" s="1733" t="s">
        <v>327</v>
      </c>
      <c r="C67" s="1796">
        <f>'2.Kiadások_részletes '!I33</f>
        <v>0</v>
      </c>
      <c r="D67" s="1797"/>
      <c r="E67" s="1797"/>
      <c r="F67" s="1798"/>
      <c r="G67" s="1799"/>
      <c r="H67" s="1797"/>
      <c r="I67" s="1797"/>
      <c r="J67" s="1800"/>
      <c r="K67" s="1801"/>
      <c r="L67" s="1797"/>
      <c r="M67" s="1797"/>
      <c r="N67" s="1798"/>
      <c r="O67" s="1796">
        <f t="shared" si="89"/>
        <v>0</v>
      </c>
      <c r="P67" s="1802">
        <f t="shared" si="89"/>
        <v>0</v>
      </c>
      <c r="Q67" s="1802">
        <f t="shared" si="89"/>
        <v>0</v>
      </c>
      <c r="R67" s="1798"/>
    </row>
    <row r="68" spans="1:18" ht="27" x14ac:dyDescent="0.35">
      <c r="A68" s="1727" t="s">
        <v>322</v>
      </c>
      <c r="B68" s="1738" t="s">
        <v>42</v>
      </c>
      <c r="C68" s="1767">
        <f>SUM(C66:C67)</f>
        <v>0</v>
      </c>
      <c r="D68" s="1768">
        <f t="shared" ref="D68:P68" si="90">SUM(D66:D67)</f>
        <v>0</v>
      </c>
      <c r="E68" s="1768">
        <f t="shared" ref="E68" si="91">SUM(E66:E67)</f>
        <v>0</v>
      </c>
      <c r="F68" s="1778"/>
      <c r="G68" s="1770">
        <f t="shared" si="90"/>
        <v>0</v>
      </c>
      <c r="H68" s="1768">
        <f t="shared" si="90"/>
        <v>0</v>
      </c>
      <c r="I68" s="1768">
        <f t="shared" ref="I68" si="92">SUM(I66:I67)</f>
        <v>0</v>
      </c>
      <c r="J68" s="1803"/>
      <c r="K68" s="1767">
        <f t="shared" si="90"/>
        <v>0</v>
      </c>
      <c r="L68" s="1768">
        <f t="shared" si="90"/>
        <v>0</v>
      </c>
      <c r="M68" s="1768">
        <f t="shared" ref="M68" si="93">SUM(M66:M67)</f>
        <v>0</v>
      </c>
      <c r="N68" s="1778"/>
      <c r="O68" s="1767">
        <f t="shared" si="90"/>
        <v>0</v>
      </c>
      <c r="P68" s="1768">
        <f t="shared" si="90"/>
        <v>0</v>
      </c>
      <c r="Q68" s="1768">
        <f t="shared" ref="Q68" si="94">SUM(Q66:Q67)</f>
        <v>0</v>
      </c>
      <c r="R68" s="1778"/>
    </row>
    <row r="69" spans="1:18" ht="27.75" thickBot="1" x14ac:dyDescent="0.4">
      <c r="A69" s="1613"/>
      <c r="B69" s="1739" t="s">
        <v>346</v>
      </c>
      <c r="C69" s="1779">
        <f>SUM(C65,C68)</f>
        <v>511290.35600000003</v>
      </c>
      <c r="D69" s="1780">
        <f t="shared" ref="D69:P69" si="95">SUM(D65,D68)</f>
        <v>494463.35600000003</v>
      </c>
      <c r="E69" s="1780">
        <f t="shared" ref="E69" si="96">SUM(E65,E68)</f>
        <v>428207.15</v>
      </c>
      <c r="F69" s="1781">
        <f>E69/D69%</f>
        <v>86.600380959271732</v>
      </c>
      <c r="G69" s="1782">
        <f t="shared" si="95"/>
        <v>0</v>
      </c>
      <c r="H69" s="1780">
        <f t="shared" si="95"/>
        <v>8563</v>
      </c>
      <c r="I69" s="1780">
        <f t="shared" ref="I69" si="97">SUM(I65,I68)</f>
        <v>8519</v>
      </c>
      <c r="J69" s="1783">
        <f>I69/H69%</f>
        <v>99.486161392035513</v>
      </c>
      <c r="K69" s="1779">
        <f t="shared" si="95"/>
        <v>46248</v>
      </c>
      <c r="L69" s="1780">
        <f t="shared" si="95"/>
        <v>62434</v>
      </c>
      <c r="M69" s="1780">
        <f t="shared" ref="M69" si="98">SUM(M65,M68)</f>
        <v>58856</v>
      </c>
      <c r="N69" s="1781">
        <f>M69/L69%</f>
        <v>94.269148220520862</v>
      </c>
      <c r="O69" s="1779">
        <f t="shared" si="95"/>
        <v>557538.35600000003</v>
      </c>
      <c r="P69" s="1780">
        <f t="shared" si="95"/>
        <v>565460.35600000003</v>
      </c>
      <c r="Q69" s="1780">
        <f t="shared" ref="Q69" si="99">SUM(Q65,Q68)</f>
        <v>495582.15</v>
      </c>
      <c r="R69" s="1781">
        <f>Q69/P69%</f>
        <v>87.642244896828799</v>
      </c>
    </row>
    <row r="71" spans="1:18" ht="30.75" x14ac:dyDescent="0.45">
      <c r="C71" s="483"/>
      <c r="D71" s="483"/>
      <c r="E71" s="483"/>
      <c r="F71" s="483"/>
      <c r="G71" s="483"/>
      <c r="H71" s="483"/>
      <c r="I71" s="483"/>
      <c r="J71" s="483"/>
      <c r="K71" s="483"/>
      <c r="L71" s="483"/>
      <c r="M71" s="483"/>
      <c r="N71" s="483"/>
      <c r="O71" s="1927"/>
      <c r="P71" s="1927"/>
      <c r="Q71" s="1927"/>
      <c r="R71" s="483"/>
    </row>
    <row r="72" spans="1:18" ht="30.75" x14ac:dyDescent="0.45">
      <c r="O72" s="1927"/>
      <c r="P72" s="1927"/>
      <c r="Q72" s="1927"/>
      <c r="R72" s="483"/>
    </row>
    <row r="73" spans="1:18" ht="30.75" x14ac:dyDescent="0.45">
      <c r="K73" s="483"/>
      <c r="O73" s="1704"/>
      <c r="P73" s="1704"/>
      <c r="Q73" s="1704"/>
    </row>
  </sheetData>
  <mergeCells count="15">
    <mergeCell ref="A1:R1"/>
    <mergeCell ref="A2:R2"/>
    <mergeCell ref="A4:R4"/>
    <mergeCell ref="O45:R45"/>
    <mergeCell ref="A45:A46"/>
    <mergeCell ref="B45:B46"/>
    <mergeCell ref="C45:F45"/>
    <mergeCell ref="G45:J45"/>
    <mergeCell ref="K45:N45"/>
    <mergeCell ref="C8:F8"/>
    <mergeCell ref="G8:J8"/>
    <mergeCell ref="O8:R8"/>
    <mergeCell ref="K8:N8"/>
    <mergeCell ref="A8:A9"/>
    <mergeCell ref="B8:B9"/>
  </mergeCells>
  <printOptions horizontalCentered="1"/>
  <pageMargins left="0.23622047244094491" right="0.23622047244094491" top="0.2" bottom="0.3" header="0.31496062992125984" footer="0.21"/>
  <pageSetup paperSize="9" scale="3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69"/>
  <sheetViews>
    <sheetView view="pageBreakPreview" zoomScale="80" zoomScaleSheetLayoutView="80" workbookViewId="0">
      <selection activeCell="A2" sqref="A2:O2"/>
    </sheetView>
  </sheetViews>
  <sheetFormatPr defaultRowHeight="15" customHeight="1" x14ac:dyDescent="0.35"/>
  <cols>
    <col min="1" max="1" width="13.5703125" style="1341" customWidth="1"/>
    <col min="2" max="2" width="72.42578125" style="1341" customWidth="1"/>
    <col min="3" max="3" width="18" style="1341" customWidth="1"/>
    <col min="4" max="4" width="20.140625" style="1341" customWidth="1"/>
    <col min="5" max="5" width="20.28515625" style="1341" customWidth="1"/>
    <col min="6" max="6" width="14.140625" style="1341" customWidth="1"/>
    <col min="7" max="7" width="16.7109375" style="1341" customWidth="1"/>
    <col min="8" max="8" width="17.7109375" style="1341" customWidth="1"/>
    <col min="9" max="9" width="17" style="1341" customWidth="1"/>
    <col min="10" max="10" width="13" style="1341" customWidth="1"/>
    <col min="11" max="11" width="19.5703125" style="1341" customWidth="1"/>
    <col min="12" max="12" width="18.5703125" style="1341" customWidth="1"/>
    <col min="13" max="13" width="18.85546875" style="1341" customWidth="1"/>
    <col min="14" max="14" width="14.85546875" style="1341" customWidth="1"/>
    <col min="15" max="16384" width="9.140625" style="1341"/>
  </cols>
  <sheetData>
    <row r="1" spans="1:14" ht="23.25" x14ac:dyDescent="0.35">
      <c r="A1" s="2417" t="str">
        <f>'5. Köt+önk_PH'!A1:O1</f>
        <v>Pilisvörösvár Város Önkormányzata Képviselő-testületének 7/2018. (IV. 27.) önkormányzati rendelete</v>
      </c>
      <c r="B1" s="2417"/>
      <c r="C1" s="2417"/>
      <c r="D1" s="2417"/>
      <c r="E1" s="2417"/>
      <c r="F1" s="2417"/>
      <c r="G1" s="2417"/>
      <c r="H1" s="2417"/>
      <c r="I1" s="2417"/>
      <c r="J1" s="2417"/>
      <c r="K1" s="2417"/>
      <c r="L1" s="2417"/>
      <c r="M1" s="2417"/>
      <c r="N1" s="2417"/>
    </row>
    <row r="2" spans="1:14" ht="23.25" x14ac:dyDescent="0.35">
      <c r="A2" s="2417" t="str">
        <f>'5. Köt+önk_PH'!A2:O2</f>
        <v>az Önkormányzat  2017. évi zárszámadásáról</v>
      </c>
      <c r="B2" s="2417"/>
      <c r="C2" s="2417"/>
      <c r="D2" s="2417"/>
      <c r="E2" s="2417"/>
      <c r="F2" s="2417"/>
      <c r="G2" s="2417"/>
      <c r="H2" s="2417"/>
      <c r="I2" s="2417"/>
      <c r="J2" s="2417"/>
      <c r="K2" s="2417"/>
      <c r="L2" s="2417"/>
      <c r="M2" s="2417"/>
      <c r="N2" s="2417"/>
    </row>
    <row r="3" spans="1:14" ht="8.25" customHeight="1" x14ac:dyDescent="0.35"/>
    <row r="4" spans="1:14" ht="33.75" customHeight="1" x14ac:dyDescent="0.35">
      <c r="A4" s="2417" t="str">
        <f>Tartalomjegyzék_2017!B13</f>
        <v>Pilisvörösvári Szakorvosi Rendelőintézet költségvetése kötelező és önként vállalt feladat szerinti bontásban</v>
      </c>
      <c r="B4" s="2417"/>
      <c r="C4" s="2417"/>
      <c r="D4" s="2417"/>
      <c r="E4" s="2417"/>
      <c r="F4" s="2417"/>
      <c r="G4" s="2417"/>
      <c r="H4" s="2417"/>
      <c r="I4" s="2417"/>
      <c r="J4" s="2417"/>
      <c r="K4" s="2417"/>
      <c r="L4" s="2417"/>
      <c r="M4" s="2417"/>
      <c r="N4" s="2417"/>
    </row>
    <row r="5" spans="1:14" ht="23.25" x14ac:dyDescent="0.35">
      <c r="L5" s="1342"/>
      <c r="M5" s="1342"/>
      <c r="N5" s="1342" t="s">
        <v>15</v>
      </c>
    </row>
    <row r="6" spans="1:14" ht="15" customHeight="1" thickBot="1" x14ac:dyDescent="0.4">
      <c r="L6" s="1343"/>
      <c r="M6" s="1343"/>
      <c r="N6" s="1343" t="s">
        <v>323</v>
      </c>
    </row>
    <row r="7" spans="1:14" s="855" customFormat="1" ht="21.75" customHeight="1" x14ac:dyDescent="0.35">
      <c r="A7" s="2419" t="s">
        <v>364</v>
      </c>
      <c r="B7" s="2440" t="s">
        <v>799</v>
      </c>
      <c r="C7" s="2424" t="s">
        <v>152</v>
      </c>
      <c r="D7" s="2428"/>
      <c r="E7" s="2428"/>
      <c r="F7" s="2428"/>
      <c r="G7" s="2424" t="s">
        <v>1107</v>
      </c>
      <c r="H7" s="2428"/>
      <c r="I7" s="2428"/>
      <c r="J7" s="2428"/>
      <c r="K7" s="2424" t="s">
        <v>444</v>
      </c>
      <c r="L7" s="2428"/>
      <c r="M7" s="2428"/>
      <c r="N7" s="2429"/>
    </row>
    <row r="8" spans="1:14" s="855" customFormat="1" ht="100.5" customHeight="1" x14ac:dyDescent="0.3">
      <c r="A8" s="2431"/>
      <c r="B8" s="2441" t="s">
        <v>799</v>
      </c>
      <c r="C8" s="1318" t="s">
        <v>1101</v>
      </c>
      <c r="D8" s="1318" t="s">
        <v>1102</v>
      </c>
      <c r="E8" s="1318" t="s">
        <v>1103</v>
      </c>
      <c r="F8" s="1318" t="s">
        <v>1084</v>
      </c>
      <c r="G8" s="1318" t="s">
        <v>1104</v>
      </c>
      <c r="H8" s="1318" t="s">
        <v>1105</v>
      </c>
      <c r="I8" s="1318" t="s">
        <v>1106</v>
      </c>
      <c r="J8" s="1318" t="s">
        <v>1084</v>
      </c>
      <c r="K8" s="1410" t="s">
        <v>1007</v>
      </c>
      <c r="L8" s="1318" t="s">
        <v>1069</v>
      </c>
      <c r="M8" s="1318" t="s">
        <v>1108</v>
      </c>
      <c r="N8" s="1319" t="s">
        <v>1084</v>
      </c>
    </row>
    <row r="9" spans="1:14" s="1412" customFormat="1" ht="23.25" x14ac:dyDescent="0.35">
      <c r="A9" s="257" t="s">
        <v>374</v>
      </c>
      <c r="B9" s="1411" t="s">
        <v>373</v>
      </c>
      <c r="C9" s="1358">
        <f>'2.Bevételek_részletes'!N8</f>
        <v>0</v>
      </c>
      <c r="D9" s="1358">
        <f>'2.Bevételek_részletes'!O8</f>
        <v>0</v>
      </c>
      <c r="E9" s="1358">
        <f>'2.Bevételek_részletes'!P8</f>
        <v>0</v>
      </c>
      <c r="F9" s="1358"/>
      <c r="G9" s="1358"/>
      <c r="H9" s="1358"/>
      <c r="I9" s="1358"/>
      <c r="J9" s="1358"/>
      <c r="K9" s="1358">
        <f>C9+G9</f>
        <v>0</v>
      </c>
      <c r="L9" s="1358">
        <f t="shared" ref="L9:M9" si="0">D9+H9</f>
        <v>0</v>
      </c>
      <c r="M9" s="1358">
        <f t="shared" si="0"/>
        <v>0</v>
      </c>
      <c r="N9" s="1382"/>
    </row>
    <row r="10" spans="1:14" s="1412" customFormat="1" ht="46.5" x14ac:dyDescent="0.35">
      <c r="A10" s="257" t="s">
        <v>376</v>
      </c>
      <c r="B10" s="1411" t="s">
        <v>375</v>
      </c>
      <c r="C10" s="1358">
        <f>'2.Bevételek_részletes'!N9</f>
        <v>262500</v>
      </c>
      <c r="D10" s="1358">
        <f>'2.Bevételek_részletes'!O9</f>
        <v>296767</v>
      </c>
      <c r="E10" s="1358">
        <f>'2.Bevételek_részletes'!P9</f>
        <v>301227</v>
      </c>
      <c r="F10" s="1413">
        <f>E10/D10%</f>
        <v>101.50286251503705</v>
      </c>
      <c r="G10" s="1358"/>
      <c r="H10" s="1358"/>
      <c r="I10" s="1358"/>
      <c r="J10" s="1358"/>
      <c r="K10" s="1358">
        <f t="shared" ref="K10:K41" si="1">C10+G10</f>
        <v>262500</v>
      </c>
      <c r="L10" s="1358">
        <f t="shared" ref="L10:L41" si="2">D10+H10</f>
        <v>296767</v>
      </c>
      <c r="M10" s="1358">
        <f t="shared" ref="M10:M41" si="3">E10+I10</f>
        <v>301227</v>
      </c>
      <c r="N10" s="1413">
        <f>M10/L10%</f>
        <v>101.50286251503705</v>
      </c>
    </row>
    <row r="11" spans="1:14" s="1412" customFormat="1" ht="45" x14ac:dyDescent="0.35">
      <c r="A11" s="1399" t="s">
        <v>378</v>
      </c>
      <c r="B11" s="1414" t="s">
        <v>377</v>
      </c>
      <c r="C11" s="1358">
        <f>'2.Bevételek_részletes'!N10</f>
        <v>262500</v>
      </c>
      <c r="D11" s="1358">
        <f>'2.Bevételek_részletes'!O10</f>
        <v>296767</v>
      </c>
      <c r="E11" s="1358">
        <f>'2.Bevételek_részletes'!P10</f>
        <v>301227</v>
      </c>
      <c r="F11" s="1413">
        <f t="shared" ref="F11:F12" si="4">E11/D11%</f>
        <v>101.50286251503705</v>
      </c>
      <c r="G11" s="1363"/>
      <c r="H11" s="1363"/>
      <c r="I11" s="1363"/>
      <c r="J11" s="1363"/>
      <c r="K11" s="1358">
        <f t="shared" si="1"/>
        <v>262500</v>
      </c>
      <c r="L11" s="1358">
        <f t="shared" si="2"/>
        <v>296767</v>
      </c>
      <c r="M11" s="1358">
        <f t="shared" si="3"/>
        <v>301227</v>
      </c>
      <c r="N11" s="1413">
        <f t="shared" ref="N11:N12" si="5">M11/L11%</f>
        <v>101.50286251503705</v>
      </c>
    </row>
    <row r="12" spans="1:14" ht="45" x14ac:dyDescent="0.35">
      <c r="A12" s="1399" t="s">
        <v>382</v>
      </c>
      <c r="B12" s="1414" t="s">
        <v>381</v>
      </c>
      <c r="C12" s="1358">
        <f>'2.Bevételek_részletes'!N13</f>
        <v>0</v>
      </c>
      <c r="D12" s="1358">
        <f>'2.Bevételek_részletes'!O13</f>
        <v>2620</v>
      </c>
      <c r="E12" s="1358">
        <f>'2.Bevételek_részletes'!P13</f>
        <v>2620</v>
      </c>
      <c r="F12" s="1413">
        <f t="shared" si="4"/>
        <v>100</v>
      </c>
      <c r="G12" s="1363"/>
      <c r="H12" s="1363"/>
      <c r="I12" s="1363"/>
      <c r="J12" s="1363"/>
      <c r="K12" s="1358">
        <f t="shared" si="1"/>
        <v>0</v>
      </c>
      <c r="L12" s="1358">
        <f t="shared" si="2"/>
        <v>2620</v>
      </c>
      <c r="M12" s="1358">
        <f t="shared" si="3"/>
        <v>2620</v>
      </c>
      <c r="N12" s="1413">
        <f t="shared" si="5"/>
        <v>100</v>
      </c>
    </row>
    <row r="13" spans="1:14" ht="46.5" x14ac:dyDescent="0.35">
      <c r="A13" s="1400" t="s">
        <v>146</v>
      </c>
      <c r="B13" s="1415" t="s">
        <v>157</v>
      </c>
      <c r="C13" s="1358">
        <f>'2.Bevételek_részletes'!N14</f>
        <v>0</v>
      </c>
      <c r="D13" s="1358">
        <f>'2.Bevételek_részletes'!O14</f>
        <v>0</v>
      </c>
      <c r="E13" s="1358">
        <f>'2.Bevételek_részletes'!P14</f>
        <v>0</v>
      </c>
      <c r="F13" s="1358"/>
      <c r="G13" s="1363"/>
      <c r="H13" s="1363"/>
      <c r="I13" s="1363"/>
      <c r="J13" s="1363"/>
      <c r="K13" s="1358">
        <f t="shared" si="1"/>
        <v>0</v>
      </c>
      <c r="L13" s="1358">
        <f t="shared" si="2"/>
        <v>0</v>
      </c>
      <c r="M13" s="1358">
        <f t="shared" si="3"/>
        <v>0</v>
      </c>
      <c r="N13" s="1358"/>
    </row>
    <row r="14" spans="1:14" s="1412" customFormat="1" ht="46.5" x14ac:dyDescent="0.35">
      <c r="A14" s="257" t="s">
        <v>103</v>
      </c>
      <c r="B14" s="1411" t="s">
        <v>156</v>
      </c>
      <c r="C14" s="1358">
        <f>'2.Bevételek_részletes'!N15</f>
        <v>0</v>
      </c>
      <c r="D14" s="1358">
        <f>'2.Bevételek_részletes'!O15</f>
        <v>0</v>
      </c>
      <c r="E14" s="1358">
        <f>'2.Bevételek_részletes'!P15</f>
        <v>0</v>
      </c>
      <c r="F14" s="1358"/>
      <c r="G14" s="1358"/>
      <c r="H14" s="1358"/>
      <c r="I14" s="1358"/>
      <c r="J14" s="1358"/>
      <c r="K14" s="1358">
        <f t="shared" si="1"/>
        <v>0</v>
      </c>
      <c r="L14" s="1358">
        <f t="shared" si="2"/>
        <v>0</v>
      </c>
      <c r="M14" s="1358">
        <f t="shared" si="3"/>
        <v>0</v>
      </c>
      <c r="N14" s="1358"/>
    </row>
    <row r="15" spans="1:14" s="1412" customFormat="1" ht="23.25" x14ac:dyDescent="0.35">
      <c r="A15" s="257" t="s">
        <v>385</v>
      </c>
      <c r="B15" s="1411" t="s">
        <v>153</v>
      </c>
      <c r="C15" s="1358">
        <f>'2.Bevételek_részletes'!N16</f>
        <v>0</v>
      </c>
      <c r="D15" s="1358">
        <f>'2.Bevételek_részletes'!O16</f>
        <v>0</v>
      </c>
      <c r="E15" s="1358">
        <f>'2.Bevételek_részletes'!P16</f>
        <v>0</v>
      </c>
      <c r="F15" s="1358"/>
      <c r="G15" s="1358"/>
      <c r="H15" s="1358"/>
      <c r="I15" s="1358"/>
      <c r="J15" s="1358"/>
      <c r="K15" s="1358">
        <f t="shared" si="1"/>
        <v>0</v>
      </c>
      <c r="L15" s="1358">
        <f t="shared" si="2"/>
        <v>0</v>
      </c>
      <c r="M15" s="1358">
        <f t="shared" si="3"/>
        <v>0</v>
      </c>
      <c r="N15" s="1358"/>
    </row>
    <row r="16" spans="1:14" s="1412" customFormat="1" ht="23.25" x14ac:dyDescent="0.35">
      <c r="A16" s="1399" t="s">
        <v>387</v>
      </c>
      <c r="B16" s="1414" t="s">
        <v>386</v>
      </c>
      <c r="C16" s="1358">
        <f>'2.Bevételek_részletes'!N17</f>
        <v>0</v>
      </c>
      <c r="D16" s="1358">
        <f>'2.Bevételek_részletes'!O17</f>
        <v>0</v>
      </c>
      <c r="E16" s="1358">
        <f>'2.Bevételek_részletes'!P17</f>
        <v>0</v>
      </c>
      <c r="F16" s="1358"/>
      <c r="G16" s="1363"/>
      <c r="H16" s="1363"/>
      <c r="I16" s="1363"/>
      <c r="J16" s="1363"/>
      <c r="K16" s="1358">
        <f t="shared" si="1"/>
        <v>0</v>
      </c>
      <c r="L16" s="1358">
        <f t="shared" si="2"/>
        <v>0</v>
      </c>
      <c r="M16" s="1358">
        <f t="shared" si="3"/>
        <v>0</v>
      </c>
      <c r="N16" s="1358"/>
    </row>
    <row r="17" spans="1:14" s="1412" customFormat="1" ht="23.25" x14ac:dyDescent="0.35">
      <c r="A17" s="257" t="s">
        <v>114</v>
      </c>
      <c r="B17" s="1416" t="s">
        <v>388</v>
      </c>
      <c r="C17" s="1363">
        <f>'2.Bevételek_részletes'!N18</f>
        <v>0</v>
      </c>
      <c r="D17" s="1363">
        <f>'2.Bevételek_részletes'!O18</f>
        <v>0</v>
      </c>
      <c r="E17" s="1363">
        <f>'2.Bevételek_részletes'!P18</f>
        <v>5</v>
      </c>
      <c r="F17" s="1413"/>
      <c r="G17" s="1363"/>
      <c r="H17" s="1363"/>
      <c r="I17" s="1363"/>
      <c r="J17" s="1363"/>
      <c r="K17" s="1363">
        <f t="shared" si="1"/>
        <v>0</v>
      </c>
      <c r="L17" s="1363">
        <f t="shared" si="2"/>
        <v>0</v>
      </c>
      <c r="M17" s="1363">
        <f t="shared" si="3"/>
        <v>5</v>
      </c>
      <c r="N17" s="1413"/>
    </row>
    <row r="18" spans="1:14" s="1412" customFormat="1" ht="23.25" x14ac:dyDescent="0.35">
      <c r="A18" s="257" t="s">
        <v>113</v>
      </c>
      <c r="B18" s="1411" t="s">
        <v>116</v>
      </c>
      <c r="C18" s="1363">
        <f>'2.Bevételek_részletes'!N19</f>
        <v>3720</v>
      </c>
      <c r="D18" s="1363">
        <f>'2.Bevételek_részletes'!O19</f>
        <v>3720</v>
      </c>
      <c r="E18" s="1363">
        <f>'2.Bevételek_részletes'!P19</f>
        <v>3586</v>
      </c>
      <c r="F18" s="1413">
        <f t="shared" ref="F18:F24" si="6">E18/D18%</f>
        <v>96.397849462365585</v>
      </c>
      <c r="G18" s="1363"/>
      <c r="H18" s="1363"/>
      <c r="I18" s="1363"/>
      <c r="J18" s="1363"/>
      <c r="K18" s="1363">
        <f t="shared" si="1"/>
        <v>3720</v>
      </c>
      <c r="L18" s="1363">
        <f t="shared" si="2"/>
        <v>3720</v>
      </c>
      <c r="M18" s="1363">
        <f t="shared" si="3"/>
        <v>3586</v>
      </c>
      <c r="N18" s="1413">
        <f t="shared" ref="N18:N24" si="7">M18/L18%</f>
        <v>96.397849462365585</v>
      </c>
    </row>
    <row r="19" spans="1:14" s="1412" customFormat="1" ht="46.5" x14ac:dyDescent="0.35">
      <c r="A19" s="257" t="s">
        <v>112</v>
      </c>
      <c r="B19" s="1411" t="s">
        <v>107</v>
      </c>
      <c r="C19" s="1363">
        <f>'2.Bevételek_részletes'!N20</f>
        <v>1700</v>
      </c>
      <c r="D19" s="1363">
        <f>'2.Bevételek_részletes'!O20</f>
        <v>1700</v>
      </c>
      <c r="E19" s="1363">
        <f>'2.Bevételek_részletes'!P20</f>
        <v>1781</v>
      </c>
      <c r="F19" s="1413">
        <f t="shared" si="6"/>
        <v>104.76470588235294</v>
      </c>
      <c r="G19" s="1363"/>
      <c r="H19" s="1363"/>
      <c r="I19" s="1363"/>
      <c r="J19" s="1363"/>
      <c r="K19" s="1363">
        <f t="shared" si="1"/>
        <v>1700</v>
      </c>
      <c r="L19" s="1363">
        <f t="shared" si="2"/>
        <v>1700</v>
      </c>
      <c r="M19" s="1363">
        <f t="shared" si="3"/>
        <v>1781</v>
      </c>
      <c r="N19" s="1413">
        <f t="shared" si="7"/>
        <v>104.76470588235294</v>
      </c>
    </row>
    <row r="20" spans="1:14" s="1412" customFormat="1" ht="23.25" x14ac:dyDescent="0.35">
      <c r="A20" s="257" t="s">
        <v>395</v>
      </c>
      <c r="B20" s="1411" t="s">
        <v>394</v>
      </c>
      <c r="C20" s="1363">
        <f>'2.Bevételek_részletes'!N21</f>
        <v>0</v>
      </c>
      <c r="D20" s="1363">
        <f>'2.Bevételek_részletes'!O21</f>
        <v>0</v>
      </c>
      <c r="E20" s="1363">
        <f>'2.Bevételek_részletes'!P21</f>
        <v>0</v>
      </c>
      <c r="F20" s="1413"/>
      <c r="G20" s="1363"/>
      <c r="H20" s="1363"/>
      <c r="I20" s="1363"/>
      <c r="J20" s="1363"/>
      <c r="K20" s="1363">
        <f t="shared" si="1"/>
        <v>0</v>
      </c>
      <c r="L20" s="1363">
        <f t="shared" si="2"/>
        <v>0</v>
      </c>
      <c r="M20" s="1363">
        <f t="shared" si="3"/>
        <v>0</v>
      </c>
      <c r="N20" s="1413"/>
    </row>
    <row r="21" spans="1:14" s="1412" customFormat="1" ht="23.25" x14ac:dyDescent="0.35">
      <c r="A21" s="257" t="s">
        <v>397</v>
      </c>
      <c r="B21" s="1411" t="s">
        <v>396</v>
      </c>
      <c r="C21" s="1363">
        <f>'2.Bevételek_részletes'!N22</f>
        <v>3120</v>
      </c>
      <c r="D21" s="1363">
        <f>'2.Bevételek_részletes'!O22</f>
        <v>3668</v>
      </c>
      <c r="E21" s="1363">
        <f>'2.Bevételek_részletes'!P22</f>
        <v>4595</v>
      </c>
      <c r="F21" s="1413">
        <f t="shared" si="6"/>
        <v>125.27262813522356</v>
      </c>
      <c r="G21" s="1363"/>
      <c r="H21" s="1363"/>
      <c r="I21" s="1363"/>
      <c r="J21" s="1363"/>
      <c r="K21" s="1363">
        <f t="shared" si="1"/>
        <v>3120</v>
      </c>
      <c r="L21" s="1363">
        <f t="shared" si="2"/>
        <v>3668</v>
      </c>
      <c r="M21" s="1363">
        <f t="shared" si="3"/>
        <v>4595</v>
      </c>
      <c r="N21" s="1413">
        <f t="shared" si="7"/>
        <v>125.27262813522356</v>
      </c>
    </row>
    <row r="22" spans="1:14" s="1412" customFormat="1" ht="23.25" x14ac:dyDescent="0.35">
      <c r="A22" s="257" t="s">
        <v>401</v>
      </c>
      <c r="B22" s="1411" t="s">
        <v>400</v>
      </c>
      <c r="C22" s="1363">
        <f>'2.Bevételek_részletes'!N24</f>
        <v>10</v>
      </c>
      <c r="D22" s="1363">
        <f>'2.Bevételek_részletes'!O24</f>
        <v>0</v>
      </c>
      <c r="E22" s="1363">
        <f>'2.Bevételek_részletes'!P24</f>
        <v>0</v>
      </c>
      <c r="F22" s="1413"/>
      <c r="G22" s="1363"/>
      <c r="H22" s="1363"/>
      <c r="I22" s="1363"/>
      <c r="J22" s="1363"/>
      <c r="K22" s="1363">
        <f t="shared" si="1"/>
        <v>10</v>
      </c>
      <c r="L22" s="1363">
        <f t="shared" si="2"/>
        <v>0</v>
      </c>
      <c r="M22" s="1363">
        <f t="shared" si="3"/>
        <v>0</v>
      </c>
      <c r="N22" s="1413"/>
    </row>
    <row r="23" spans="1:14" s="1412" customFormat="1" ht="23.25" x14ac:dyDescent="0.35">
      <c r="A23" s="257" t="s">
        <v>874</v>
      </c>
      <c r="B23" s="1416" t="s">
        <v>1</v>
      </c>
      <c r="C23" s="1363"/>
      <c r="D23" s="1363">
        <f>'2.Bevételek_részletes'!O25</f>
        <v>10</v>
      </c>
      <c r="E23" s="1363">
        <f>'2.Bevételek_részletes'!P25</f>
        <v>341</v>
      </c>
      <c r="F23" s="1413">
        <f t="shared" si="6"/>
        <v>3410</v>
      </c>
      <c r="G23" s="1363"/>
      <c r="H23" s="1363"/>
      <c r="I23" s="1363"/>
      <c r="J23" s="1363"/>
      <c r="K23" s="1363">
        <f t="shared" si="1"/>
        <v>0</v>
      </c>
      <c r="L23" s="1363">
        <f t="shared" si="2"/>
        <v>10</v>
      </c>
      <c r="M23" s="1363">
        <f t="shared" si="3"/>
        <v>341</v>
      </c>
      <c r="N23" s="1413">
        <f t="shared" si="7"/>
        <v>3410</v>
      </c>
    </row>
    <row r="24" spans="1:14" s="1412" customFormat="1" ht="23.25" x14ac:dyDescent="0.35">
      <c r="A24" s="1399" t="s">
        <v>403</v>
      </c>
      <c r="B24" s="1417" t="s">
        <v>402</v>
      </c>
      <c r="C24" s="1363">
        <f>SUM(C17:C22)</f>
        <v>8550</v>
      </c>
      <c r="D24" s="1363">
        <f>SUM(D17:D23)</f>
        <v>9098</v>
      </c>
      <c r="E24" s="1363">
        <f>SUM(E17:E23)</f>
        <v>10308</v>
      </c>
      <c r="F24" s="1413">
        <f t="shared" si="6"/>
        <v>113.29962629149263</v>
      </c>
      <c r="G24" s="1363">
        <f>SUM(G17:G22)</f>
        <v>0</v>
      </c>
      <c r="H24" s="1363">
        <f t="shared" ref="H24:I24" si="8">SUM(H17:H22)</f>
        <v>0</v>
      </c>
      <c r="I24" s="1363">
        <f t="shared" si="8"/>
        <v>0</v>
      </c>
      <c r="J24" s="1363"/>
      <c r="K24" s="1363">
        <f t="shared" si="1"/>
        <v>8550</v>
      </c>
      <c r="L24" s="1363">
        <f t="shared" si="2"/>
        <v>9098</v>
      </c>
      <c r="M24" s="1363">
        <f t="shared" si="3"/>
        <v>10308</v>
      </c>
      <c r="N24" s="1413">
        <f t="shared" si="7"/>
        <v>113.29962629149263</v>
      </c>
    </row>
    <row r="25" spans="1:14" s="1412" customFormat="1" ht="22.5" x14ac:dyDescent="0.3">
      <c r="A25" s="1399" t="s">
        <v>409</v>
      </c>
      <c r="B25" s="1414" t="s">
        <v>408</v>
      </c>
      <c r="C25" s="1363">
        <f>'2.Bevételek_részletes'!N29</f>
        <v>0</v>
      </c>
      <c r="D25" s="1363">
        <f>'2.Bevételek_részletes'!O29</f>
        <v>0</v>
      </c>
      <c r="E25" s="1363">
        <f>'2.Bevételek_részletes'!P29</f>
        <v>0</v>
      </c>
      <c r="F25" s="1363"/>
      <c r="G25" s="1363"/>
      <c r="H25" s="1363"/>
      <c r="I25" s="1363"/>
      <c r="J25" s="1363"/>
      <c r="K25" s="1363">
        <f t="shared" si="1"/>
        <v>0</v>
      </c>
      <c r="L25" s="1363">
        <f t="shared" si="2"/>
        <v>0</v>
      </c>
      <c r="M25" s="1363">
        <f t="shared" si="3"/>
        <v>0</v>
      </c>
      <c r="N25" s="1363"/>
    </row>
    <row r="26" spans="1:14" s="1412" customFormat="1" ht="22.5" x14ac:dyDescent="0.3">
      <c r="A26" s="1399" t="s">
        <v>413</v>
      </c>
      <c r="B26" s="1414" t="s">
        <v>412</v>
      </c>
      <c r="C26" s="1363">
        <f>'2.Bevételek_részletes'!N31</f>
        <v>0</v>
      </c>
      <c r="D26" s="1363">
        <f>'2.Bevételek_részletes'!O31</f>
        <v>0</v>
      </c>
      <c r="E26" s="1363">
        <f>'2.Bevételek_részletes'!P31</f>
        <v>0</v>
      </c>
      <c r="F26" s="1363"/>
      <c r="G26" s="1363"/>
      <c r="H26" s="1363"/>
      <c r="I26" s="1363"/>
      <c r="J26" s="1363"/>
      <c r="K26" s="1363">
        <f t="shared" si="1"/>
        <v>0</v>
      </c>
      <c r="L26" s="1363">
        <f t="shared" si="2"/>
        <v>0</v>
      </c>
      <c r="M26" s="1363">
        <f t="shared" si="3"/>
        <v>0</v>
      </c>
      <c r="N26" s="1363"/>
    </row>
    <row r="27" spans="1:14" s="1412" customFormat="1" ht="69.75" x14ac:dyDescent="0.3">
      <c r="A27" s="257" t="s">
        <v>415</v>
      </c>
      <c r="B27" s="1411" t="s">
        <v>414</v>
      </c>
      <c r="C27" s="1363">
        <f>'2.Bevételek_részletes'!N32</f>
        <v>0</v>
      </c>
      <c r="D27" s="1363">
        <f>'2.Bevételek_részletes'!O32</f>
        <v>0</v>
      </c>
      <c r="E27" s="1363">
        <f>'2.Bevételek_részletes'!P32</f>
        <v>0</v>
      </c>
      <c r="F27" s="1363"/>
      <c r="G27" s="1363"/>
      <c r="H27" s="1363"/>
      <c r="I27" s="1363"/>
      <c r="J27" s="1363"/>
      <c r="K27" s="1363">
        <f t="shared" si="1"/>
        <v>0</v>
      </c>
      <c r="L27" s="1363">
        <f t="shared" si="2"/>
        <v>0</v>
      </c>
      <c r="M27" s="1363">
        <f t="shared" si="3"/>
        <v>0</v>
      </c>
      <c r="N27" s="1363"/>
    </row>
    <row r="28" spans="1:14" s="1412" customFormat="1" ht="23.25" x14ac:dyDescent="0.3">
      <c r="A28" s="257" t="s">
        <v>417</v>
      </c>
      <c r="B28" s="1416" t="s">
        <v>416</v>
      </c>
      <c r="C28" s="1363">
        <f>'2.Bevételek_részletes'!N33</f>
        <v>0</v>
      </c>
      <c r="D28" s="1363">
        <f>'2.Bevételek_részletes'!O33</f>
        <v>0</v>
      </c>
      <c r="E28" s="1363">
        <f>'2.Bevételek_részletes'!P33</f>
        <v>0</v>
      </c>
      <c r="F28" s="1363"/>
      <c r="G28" s="1363"/>
      <c r="H28" s="1363"/>
      <c r="I28" s="1363"/>
      <c r="J28" s="1363"/>
      <c r="K28" s="1363">
        <f t="shared" si="1"/>
        <v>0</v>
      </c>
      <c r="L28" s="1363">
        <f t="shared" si="2"/>
        <v>0</v>
      </c>
      <c r="M28" s="1363">
        <f t="shared" si="3"/>
        <v>0</v>
      </c>
      <c r="N28" s="1363"/>
    </row>
    <row r="29" spans="1:14" s="1412" customFormat="1" ht="22.5" x14ac:dyDescent="0.3">
      <c r="A29" s="1399" t="s">
        <v>419</v>
      </c>
      <c r="B29" s="1414" t="s">
        <v>418</v>
      </c>
      <c r="C29" s="1363">
        <f>SUM(C26:C27)</f>
        <v>0</v>
      </c>
      <c r="D29" s="1363">
        <f>SUM(D26:D27)</f>
        <v>0</v>
      </c>
      <c r="E29" s="1363">
        <f>SUM(E26:E27)</f>
        <v>0</v>
      </c>
      <c r="F29" s="1363"/>
      <c r="G29" s="1363"/>
      <c r="H29" s="1363"/>
      <c r="I29" s="1363"/>
      <c r="J29" s="1363"/>
      <c r="K29" s="1363">
        <f t="shared" si="1"/>
        <v>0</v>
      </c>
      <c r="L29" s="1363">
        <f t="shared" si="2"/>
        <v>0</v>
      </c>
      <c r="M29" s="1363">
        <f t="shared" si="3"/>
        <v>0</v>
      </c>
      <c r="N29" s="1363"/>
    </row>
    <row r="30" spans="1:14" s="1412" customFormat="1" ht="22.5" x14ac:dyDescent="0.3">
      <c r="A30" s="1401"/>
      <c r="B30" s="1418" t="s">
        <v>92</v>
      </c>
      <c r="C30" s="1368">
        <f>SUM(C10,C15,C24,C26)</f>
        <v>271050</v>
      </c>
      <c r="D30" s="1368">
        <f>SUM(D10,D15,D24,D26)</f>
        <v>305865</v>
      </c>
      <c r="E30" s="1368">
        <f>SUM(E10,E15,E24,E26)</f>
        <v>311535</v>
      </c>
      <c r="F30" s="1419">
        <f t="shared" ref="F30:F32" si="9">E30/D30%</f>
        <v>101.85375901132852</v>
      </c>
      <c r="G30" s="1368">
        <f>SUM(G10,G15,G24,G26)</f>
        <v>0</v>
      </c>
      <c r="H30" s="1368">
        <f t="shared" ref="H30:I30" si="10">SUM(H10,H15,H24,H26)</f>
        <v>0</v>
      </c>
      <c r="I30" s="1368">
        <f t="shared" si="10"/>
        <v>0</v>
      </c>
      <c r="J30" s="1368"/>
      <c r="K30" s="1368">
        <f t="shared" si="1"/>
        <v>271050</v>
      </c>
      <c r="L30" s="1368">
        <f t="shared" si="2"/>
        <v>305865</v>
      </c>
      <c r="M30" s="1368">
        <f t="shared" si="3"/>
        <v>311535</v>
      </c>
      <c r="N30" s="1419">
        <f t="shared" ref="N30:N32" si="11">M30/L30%</f>
        <v>101.85375901132852</v>
      </c>
    </row>
    <row r="31" spans="1:14" ht="23.25" x14ac:dyDescent="0.35">
      <c r="A31" s="1401"/>
      <c r="B31" s="1418" t="s">
        <v>93</v>
      </c>
      <c r="C31" s="1368">
        <f>SUM(C12,C25,C29)</f>
        <v>0</v>
      </c>
      <c r="D31" s="1368">
        <f>SUM(D12,D25,D29)</f>
        <v>2620</v>
      </c>
      <c r="E31" s="1368">
        <f>SUM(E12,E25,E29)</f>
        <v>2620</v>
      </c>
      <c r="F31" s="1419">
        <f t="shared" si="9"/>
        <v>100</v>
      </c>
      <c r="G31" s="1368">
        <f>SUM(G11,G25,G29)</f>
        <v>0</v>
      </c>
      <c r="H31" s="1368">
        <f t="shared" ref="H31:I31" si="12">SUM(H11,H25,H29)</f>
        <v>0</v>
      </c>
      <c r="I31" s="1368">
        <f t="shared" si="12"/>
        <v>0</v>
      </c>
      <c r="J31" s="1368"/>
      <c r="K31" s="1368">
        <f t="shared" si="1"/>
        <v>0</v>
      </c>
      <c r="L31" s="1368">
        <f t="shared" si="2"/>
        <v>2620</v>
      </c>
      <c r="M31" s="1368">
        <f t="shared" si="3"/>
        <v>2620</v>
      </c>
      <c r="N31" s="1419">
        <f t="shared" si="11"/>
        <v>100</v>
      </c>
    </row>
    <row r="32" spans="1:14" ht="23.25" x14ac:dyDescent="0.35">
      <c r="A32" s="258" t="s">
        <v>421</v>
      </c>
      <c r="B32" s="1420" t="s">
        <v>420</v>
      </c>
      <c r="C32" s="1373">
        <f>C30+C31</f>
        <v>271050</v>
      </c>
      <c r="D32" s="1373">
        <f>D30+D31</f>
        <v>308485</v>
      </c>
      <c r="E32" s="1373">
        <f>E30+E31</f>
        <v>314155</v>
      </c>
      <c r="F32" s="1421">
        <f t="shared" si="9"/>
        <v>101.83801481433457</v>
      </c>
      <c r="G32" s="1373">
        <f>SUM(G30:G31)</f>
        <v>0</v>
      </c>
      <c r="H32" s="1373">
        <f t="shared" ref="H32:I32" si="13">SUM(H30:H31)</f>
        <v>0</v>
      </c>
      <c r="I32" s="1373">
        <f t="shared" si="13"/>
        <v>0</v>
      </c>
      <c r="J32" s="1373"/>
      <c r="K32" s="1373">
        <f t="shared" si="1"/>
        <v>271050</v>
      </c>
      <c r="L32" s="1373">
        <f t="shared" si="2"/>
        <v>308485</v>
      </c>
      <c r="M32" s="1373">
        <f t="shared" si="3"/>
        <v>314155</v>
      </c>
      <c r="N32" s="1421">
        <f t="shared" si="11"/>
        <v>101.83801481433457</v>
      </c>
    </row>
    <row r="33" spans="1:14" ht="23.25" x14ac:dyDescent="0.35">
      <c r="A33" s="1402"/>
      <c r="B33" s="1422" t="s">
        <v>422</v>
      </c>
      <c r="C33" s="1378">
        <f t="shared" ref="C33:E34" si="14">C30-C60</f>
        <v>635</v>
      </c>
      <c r="D33" s="1378">
        <f t="shared" si="14"/>
        <v>-11189</v>
      </c>
      <c r="E33" s="1378">
        <f t="shared" si="14"/>
        <v>14468</v>
      </c>
      <c r="F33" s="1378"/>
      <c r="G33" s="1378">
        <f>G30-G64</f>
        <v>0</v>
      </c>
      <c r="H33" s="1378">
        <f t="shared" ref="H33:I33" si="15">H30-H64</f>
        <v>0</v>
      </c>
      <c r="I33" s="1378">
        <f t="shared" si="15"/>
        <v>0</v>
      </c>
      <c r="J33" s="1378"/>
      <c r="K33" s="1378">
        <f t="shared" si="1"/>
        <v>635</v>
      </c>
      <c r="L33" s="1378">
        <f t="shared" si="2"/>
        <v>-11189</v>
      </c>
      <c r="M33" s="1378">
        <f t="shared" si="3"/>
        <v>14468</v>
      </c>
      <c r="N33" s="1378"/>
    </row>
    <row r="34" spans="1:14" ht="23.25" x14ac:dyDescent="0.35">
      <c r="A34" s="1402"/>
      <c r="B34" s="1422" t="s">
        <v>423</v>
      </c>
      <c r="C34" s="1378">
        <f t="shared" si="14"/>
        <v>-635</v>
      </c>
      <c r="D34" s="1378">
        <f t="shared" si="14"/>
        <v>-3075</v>
      </c>
      <c r="E34" s="1378">
        <f t="shared" si="14"/>
        <v>-3071</v>
      </c>
      <c r="F34" s="1378"/>
      <c r="G34" s="1378">
        <f>G31-G65</f>
        <v>0</v>
      </c>
      <c r="H34" s="1378">
        <f t="shared" ref="H34:I34" si="16">H31-H65</f>
        <v>0</v>
      </c>
      <c r="I34" s="1378">
        <f t="shared" si="16"/>
        <v>0</v>
      </c>
      <c r="J34" s="1378"/>
      <c r="K34" s="1378">
        <f t="shared" si="1"/>
        <v>-635</v>
      </c>
      <c r="L34" s="1378">
        <f t="shared" si="2"/>
        <v>-3075</v>
      </c>
      <c r="M34" s="1378">
        <f t="shared" si="3"/>
        <v>-3071</v>
      </c>
      <c r="N34" s="1378"/>
    </row>
    <row r="35" spans="1:14" ht="23.25" x14ac:dyDescent="0.35">
      <c r="A35" s="259" t="s">
        <v>427</v>
      </c>
      <c r="B35" s="1416" t="s">
        <v>426</v>
      </c>
      <c r="C35" s="1358">
        <f>'2.Bevételek_részletes'!N38</f>
        <v>0</v>
      </c>
      <c r="D35" s="1358">
        <f>'2.Bevételek_részletes'!O38</f>
        <v>0</v>
      </c>
      <c r="E35" s="1358">
        <f>'2.Bevételek_részletes'!P38</f>
        <v>0</v>
      </c>
      <c r="F35" s="1358"/>
      <c r="G35" s="1358"/>
      <c r="H35" s="1358"/>
      <c r="I35" s="1358"/>
      <c r="J35" s="1358"/>
      <c r="K35" s="1358">
        <f t="shared" si="1"/>
        <v>0</v>
      </c>
      <c r="L35" s="1358">
        <f t="shared" si="2"/>
        <v>0</v>
      </c>
      <c r="M35" s="1358">
        <f t="shared" si="3"/>
        <v>0</v>
      </c>
      <c r="N35" s="1358"/>
    </row>
    <row r="36" spans="1:14" ht="46.5" x14ac:dyDescent="0.35">
      <c r="A36" s="259" t="s">
        <v>429</v>
      </c>
      <c r="B36" s="1411" t="s">
        <v>428</v>
      </c>
      <c r="C36" s="1358">
        <f>'2.Bevételek_részletes'!N42</f>
        <v>0</v>
      </c>
      <c r="D36" s="1358">
        <f>'2.Bevételek_részletes'!O42</f>
        <v>8938</v>
      </c>
      <c r="E36" s="1358">
        <f>'2.Bevételek_részletes'!P42</f>
        <v>8938</v>
      </c>
      <c r="F36" s="1413">
        <f t="shared" ref="F36" si="17">E36/D36%</f>
        <v>100</v>
      </c>
      <c r="G36" s="1358"/>
      <c r="H36" s="1358"/>
      <c r="I36" s="1358"/>
      <c r="J36" s="1358"/>
      <c r="K36" s="1358">
        <f t="shared" si="1"/>
        <v>0</v>
      </c>
      <c r="L36" s="1358">
        <f t="shared" si="2"/>
        <v>8938</v>
      </c>
      <c r="M36" s="1358">
        <f t="shared" si="3"/>
        <v>8938</v>
      </c>
      <c r="N36" s="1413">
        <f t="shared" ref="N36" si="18">M36/L36%</f>
        <v>100</v>
      </c>
    </row>
    <row r="37" spans="1:14" ht="46.5" x14ac:dyDescent="0.35">
      <c r="A37" s="259" t="s">
        <v>429</v>
      </c>
      <c r="B37" s="1411" t="s">
        <v>430</v>
      </c>
      <c r="C37" s="1358">
        <f>'2.Bevételek_részletes'!N43</f>
        <v>0</v>
      </c>
      <c r="D37" s="1358">
        <f>'2.Bevételek_részletes'!O43</f>
        <v>0</v>
      </c>
      <c r="E37" s="1358">
        <f>'2.Bevételek_részletes'!P43</f>
        <v>0</v>
      </c>
      <c r="F37" s="1358"/>
      <c r="G37" s="1358"/>
      <c r="H37" s="1358"/>
      <c r="I37" s="1358"/>
      <c r="J37" s="1358"/>
      <c r="K37" s="1358">
        <f t="shared" si="1"/>
        <v>0</v>
      </c>
      <c r="L37" s="1358">
        <f t="shared" si="2"/>
        <v>0</v>
      </c>
      <c r="M37" s="1358">
        <f t="shared" si="3"/>
        <v>0</v>
      </c>
      <c r="N37" s="1358"/>
    </row>
    <row r="38" spans="1:14" s="1412" customFormat="1" ht="22.5" x14ac:dyDescent="0.3">
      <c r="A38" s="260" t="s">
        <v>432</v>
      </c>
      <c r="B38" s="1414" t="s">
        <v>431</v>
      </c>
      <c r="C38" s="1363">
        <f>SUM(C36:C37)</f>
        <v>0</v>
      </c>
      <c r="D38" s="1363">
        <f>SUM(D36:D37)</f>
        <v>8938</v>
      </c>
      <c r="E38" s="1363">
        <f>SUM(E36:E37)</f>
        <v>8938</v>
      </c>
      <c r="F38" s="1423">
        <f t="shared" ref="F38:F41" si="19">E38/D38%</f>
        <v>100</v>
      </c>
      <c r="G38" s="1363"/>
      <c r="H38" s="1363"/>
      <c r="I38" s="1363"/>
      <c r="J38" s="1363"/>
      <c r="K38" s="1363">
        <f t="shared" si="1"/>
        <v>0</v>
      </c>
      <c r="L38" s="1363">
        <f t="shared" si="2"/>
        <v>8938</v>
      </c>
      <c r="M38" s="1363">
        <f t="shared" si="3"/>
        <v>8938</v>
      </c>
      <c r="N38" s="1423">
        <f t="shared" ref="N38:N39" si="20">M38/L38%</f>
        <v>100</v>
      </c>
    </row>
    <row r="39" spans="1:14" ht="23.25" x14ac:dyDescent="0.35">
      <c r="A39" s="259" t="s">
        <v>434</v>
      </c>
      <c r="B39" s="1411" t="s">
        <v>433</v>
      </c>
      <c r="C39" s="1358">
        <f>'2.Bevételek_részletes'!N46</f>
        <v>0</v>
      </c>
      <c r="D39" s="1358">
        <f>'2.Bevételek_részletes'!O46</f>
        <v>5326</v>
      </c>
      <c r="E39" s="1358">
        <f>'2.Bevételek_részletes'!P46</f>
        <v>5326</v>
      </c>
      <c r="F39" s="1413">
        <f t="shared" si="19"/>
        <v>100</v>
      </c>
      <c r="G39" s="1358"/>
      <c r="H39" s="1358"/>
      <c r="I39" s="1358"/>
      <c r="J39" s="1358"/>
      <c r="K39" s="1358">
        <f t="shared" si="1"/>
        <v>0</v>
      </c>
      <c r="L39" s="1358">
        <f t="shared" si="2"/>
        <v>5326</v>
      </c>
      <c r="M39" s="1358">
        <f t="shared" si="3"/>
        <v>5326</v>
      </c>
      <c r="N39" s="1413">
        <f t="shared" si="20"/>
        <v>100</v>
      </c>
    </row>
    <row r="40" spans="1:14" ht="23.25" x14ac:dyDescent="0.35">
      <c r="A40" s="1403" t="s">
        <v>442</v>
      </c>
      <c r="B40" s="1424" t="s">
        <v>441</v>
      </c>
      <c r="C40" s="1373">
        <f>SUM(C38:C39)</f>
        <v>0</v>
      </c>
      <c r="D40" s="1373">
        <f>SUM(D38:D39)</f>
        <v>14264</v>
      </c>
      <c r="E40" s="1373">
        <f>SUM(E38:E39)</f>
        <v>14264</v>
      </c>
      <c r="F40" s="1421">
        <f t="shared" si="19"/>
        <v>100.00000000000001</v>
      </c>
      <c r="G40" s="1373">
        <f>G35+G38+G39</f>
        <v>0</v>
      </c>
      <c r="H40" s="1373">
        <f t="shared" ref="H40:I40" si="21">H35+H38+H39</f>
        <v>0</v>
      </c>
      <c r="I40" s="1373">
        <f t="shared" si="21"/>
        <v>0</v>
      </c>
      <c r="J40" s="1373"/>
      <c r="K40" s="1373">
        <f t="shared" si="1"/>
        <v>0</v>
      </c>
      <c r="L40" s="1373">
        <f t="shared" si="2"/>
        <v>14264</v>
      </c>
      <c r="M40" s="1373">
        <f t="shared" si="3"/>
        <v>14264</v>
      </c>
      <c r="N40" s="1421">
        <f>M40/L40%</f>
        <v>100.00000000000001</v>
      </c>
    </row>
    <row r="41" spans="1:14" ht="24" thickBot="1" x14ac:dyDescent="0.4">
      <c r="A41" s="889"/>
      <c r="B41" s="1425" t="s">
        <v>356</v>
      </c>
      <c r="C41" s="1384">
        <f>C32+C40</f>
        <v>271050</v>
      </c>
      <c r="D41" s="1384">
        <f>D32+D40</f>
        <v>322749</v>
      </c>
      <c r="E41" s="1384">
        <f>E32+E40</f>
        <v>328419</v>
      </c>
      <c r="F41" s="1426">
        <f t="shared" si="19"/>
        <v>101.75678313488191</v>
      </c>
      <c r="G41" s="1384">
        <f>G32+G40</f>
        <v>0</v>
      </c>
      <c r="H41" s="1384">
        <f t="shared" ref="H41:I41" si="22">H32+H40</f>
        <v>0</v>
      </c>
      <c r="I41" s="1384">
        <f t="shared" si="22"/>
        <v>0</v>
      </c>
      <c r="J41" s="1384"/>
      <c r="K41" s="1384">
        <f t="shared" si="1"/>
        <v>271050</v>
      </c>
      <c r="L41" s="1384">
        <f t="shared" si="2"/>
        <v>322749</v>
      </c>
      <c r="M41" s="1384">
        <f t="shared" si="3"/>
        <v>328419</v>
      </c>
      <c r="N41" s="1426">
        <f>M41/L41%</f>
        <v>101.75678313488191</v>
      </c>
    </row>
    <row r="42" spans="1:14" ht="24" thickBot="1" x14ac:dyDescent="0.4">
      <c r="A42" s="1427"/>
      <c r="B42" s="1427"/>
      <c r="C42" s="1427"/>
      <c r="D42" s="1427"/>
      <c r="E42" s="1427"/>
      <c r="F42" s="1427"/>
      <c r="G42" s="1427"/>
      <c r="H42" s="1427"/>
      <c r="I42" s="1427"/>
      <c r="J42" s="1427"/>
      <c r="K42" s="1427"/>
      <c r="L42" s="1428"/>
      <c r="M42" s="1428"/>
      <c r="N42" s="1428"/>
    </row>
    <row r="43" spans="1:14" ht="24" customHeight="1" x14ac:dyDescent="0.35">
      <c r="A43" s="2419" t="s">
        <v>364</v>
      </c>
      <c r="B43" s="2440" t="s">
        <v>804</v>
      </c>
      <c r="C43" s="2424" t="s">
        <v>152</v>
      </c>
      <c r="D43" s="2428"/>
      <c r="E43" s="2428"/>
      <c r="F43" s="2428"/>
      <c r="G43" s="2424" t="s">
        <v>1107</v>
      </c>
      <c r="H43" s="2428"/>
      <c r="I43" s="2428"/>
      <c r="J43" s="2428"/>
      <c r="K43" s="2424" t="s">
        <v>444</v>
      </c>
      <c r="L43" s="2428"/>
      <c r="M43" s="2428"/>
      <c r="N43" s="2429"/>
    </row>
    <row r="44" spans="1:14" ht="121.5" x14ac:dyDescent="0.35">
      <c r="A44" s="2431"/>
      <c r="B44" s="2441" t="s">
        <v>799</v>
      </c>
      <c r="C44" s="1318" t="s">
        <v>1101</v>
      </c>
      <c r="D44" s="1318" t="s">
        <v>1102</v>
      </c>
      <c r="E44" s="1318" t="s">
        <v>1103</v>
      </c>
      <c r="F44" s="1318" t="s">
        <v>1084</v>
      </c>
      <c r="G44" s="1318" t="s">
        <v>1104</v>
      </c>
      <c r="H44" s="1318" t="s">
        <v>1105</v>
      </c>
      <c r="I44" s="1318" t="s">
        <v>1106</v>
      </c>
      <c r="J44" s="1318" t="s">
        <v>1084</v>
      </c>
      <c r="K44" s="1410" t="s">
        <v>1007</v>
      </c>
      <c r="L44" s="1318" t="s">
        <v>1069</v>
      </c>
      <c r="M44" s="1318" t="s">
        <v>1108</v>
      </c>
      <c r="N44" s="1319" t="s">
        <v>1084</v>
      </c>
    </row>
    <row r="45" spans="1:14" ht="23.25" x14ac:dyDescent="0.35">
      <c r="A45" s="1408" t="s">
        <v>288</v>
      </c>
      <c r="B45" s="1429" t="s">
        <v>289</v>
      </c>
      <c r="C45" s="1358">
        <f>'2.Kiadások_részletes '!N11</f>
        <v>120125</v>
      </c>
      <c r="D45" s="1358">
        <f>'2.Kiadások_részletes '!O11</f>
        <v>129037</v>
      </c>
      <c r="E45" s="1358">
        <f>'2.Kiadások_részletes '!P11</f>
        <v>119714</v>
      </c>
      <c r="F45" s="1413">
        <f>E45/D45%</f>
        <v>92.774940520935857</v>
      </c>
      <c r="G45" s="1358"/>
      <c r="H45" s="1358"/>
      <c r="I45" s="1358"/>
      <c r="J45" s="1358"/>
      <c r="K45" s="1358">
        <f t="shared" ref="K45" si="23">C45+G45</f>
        <v>120125</v>
      </c>
      <c r="L45" s="1358">
        <f t="shared" ref="L45" si="24">D45+H45</f>
        <v>129037</v>
      </c>
      <c r="M45" s="1358">
        <f t="shared" ref="M45" si="25">E45+I45</f>
        <v>119714</v>
      </c>
      <c r="N45" s="1413">
        <f>M45/L45%</f>
        <v>92.774940520935857</v>
      </c>
    </row>
    <row r="46" spans="1:14" ht="46.5" x14ac:dyDescent="0.35">
      <c r="A46" s="1408" t="s">
        <v>290</v>
      </c>
      <c r="B46" s="1411" t="s">
        <v>291</v>
      </c>
      <c r="C46" s="1358">
        <f>'2.Kiadások_részletes '!N12</f>
        <v>26245</v>
      </c>
      <c r="D46" s="1358">
        <f>'2.Kiadások_részletes '!O12</f>
        <v>28785</v>
      </c>
      <c r="E46" s="1358">
        <f>'2.Kiadások_részletes '!P12</f>
        <v>26748</v>
      </c>
      <c r="F46" s="1413">
        <f t="shared" ref="F46:F47" si="26">E46/D46%</f>
        <v>92.923397602918186</v>
      </c>
      <c r="G46" s="1358"/>
      <c r="H46" s="1358"/>
      <c r="I46" s="1358"/>
      <c r="J46" s="1358"/>
      <c r="K46" s="1358">
        <f t="shared" ref="K46:K66" si="27">C46+G46</f>
        <v>26245</v>
      </c>
      <c r="L46" s="1358">
        <f t="shared" ref="L46:L66" si="28">D46+H46</f>
        <v>28785</v>
      </c>
      <c r="M46" s="1358">
        <f t="shared" ref="M46:M66" si="29">E46+I46</f>
        <v>26748</v>
      </c>
      <c r="N46" s="1413">
        <f>M46/L46%</f>
        <v>92.923397602918186</v>
      </c>
    </row>
    <row r="47" spans="1:14" ht="23.25" x14ac:dyDescent="0.35">
      <c r="A47" s="1408" t="s">
        <v>292</v>
      </c>
      <c r="B47" s="1411" t="s">
        <v>293</v>
      </c>
      <c r="C47" s="1358">
        <f>'2.Kiadások_részletes '!N13</f>
        <v>124045</v>
      </c>
      <c r="D47" s="1358">
        <f>'2.Kiadások_részletes '!O13</f>
        <v>159232</v>
      </c>
      <c r="E47" s="1358">
        <f>'2.Kiadások_részletes '!P13</f>
        <v>150605</v>
      </c>
      <c r="F47" s="1413">
        <f t="shared" si="26"/>
        <v>94.582119172025727</v>
      </c>
      <c r="G47" s="1358"/>
      <c r="H47" s="1358"/>
      <c r="I47" s="1358"/>
      <c r="J47" s="1358"/>
      <c r="K47" s="1358">
        <f t="shared" si="27"/>
        <v>124045</v>
      </c>
      <c r="L47" s="1358">
        <f t="shared" si="28"/>
        <v>159232</v>
      </c>
      <c r="M47" s="1358">
        <f t="shared" si="29"/>
        <v>150605</v>
      </c>
      <c r="N47" s="1413">
        <f t="shared" ref="N47" si="30">M47/L47%</f>
        <v>94.582119172025727</v>
      </c>
    </row>
    <row r="48" spans="1:14" ht="23.25" x14ac:dyDescent="0.35">
      <c r="A48" s="1408" t="s">
        <v>294</v>
      </c>
      <c r="B48" s="1416" t="s">
        <v>39</v>
      </c>
      <c r="C48" s="1358">
        <f>'2.Kiadások_részletes '!N14</f>
        <v>0</v>
      </c>
      <c r="D48" s="1358">
        <f>'2.Kiadások_részletes '!O14</f>
        <v>0</v>
      </c>
      <c r="E48" s="1358">
        <f>'2.Kiadások_részletes '!P14</f>
        <v>0</v>
      </c>
      <c r="F48" s="1413"/>
      <c r="G48" s="1358"/>
      <c r="H48" s="1358"/>
      <c r="I48" s="1358"/>
      <c r="J48" s="1358"/>
      <c r="K48" s="1358">
        <f t="shared" si="27"/>
        <v>0</v>
      </c>
      <c r="L48" s="1358">
        <f t="shared" si="28"/>
        <v>0</v>
      </c>
      <c r="M48" s="1358">
        <f t="shared" si="29"/>
        <v>0</v>
      </c>
      <c r="N48" s="1413"/>
    </row>
    <row r="49" spans="1:14" ht="46.5" x14ac:dyDescent="0.35">
      <c r="A49" s="1408" t="s">
        <v>295</v>
      </c>
      <c r="B49" s="1430" t="s">
        <v>296</v>
      </c>
      <c r="C49" s="1358">
        <f>'2.Kiadások_részletes '!N16</f>
        <v>0</v>
      </c>
      <c r="D49" s="1358">
        <f>'2.Kiadások_részletes '!O16</f>
        <v>0</v>
      </c>
      <c r="E49" s="1358">
        <f>'2.Kiadások_részletes '!P16</f>
        <v>0</v>
      </c>
      <c r="F49" s="1413"/>
      <c r="G49" s="1358"/>
      <c r="H49" s="1358"/>
      <c r="I49" s="1358"/>
      <c r="J49" s="1358"/>
      <c r="K49" s="1358">
        <f t="shared" si="27"/>
        <v>0</v>
      </c>
      <c r="L49" s="1358">
        <f t="shared" si="28"/>
        <v>0</v>
      </c>
      <c r="M49" s="1358">
        <f t="shared" si="29"/>
        <v>0</v>
      </c>
      <c r="N49" s="1413"/>
    </row>
    <row r="50" spans="1:14" ht="46.5" x14ac:dyDescent="0.35">
      <c r="A50" s="1408" t="s">
        <v>298</v>
      </c>
      <c r="B50" s="1430" t="s">
        <v>297</v>
      </c>
      <c r="C50" s="1358">
        <f>'2.Kiadások_részletes '!N17</f>
        <v>0</v>
      </c>
      <c r="D50" s="1358">
        <f>'2.Kiadások_részletes '!O17</f>
        <v>0</v>
      </c>
      <c r="E50" s="1358">
        <f>'2.Kiadások_részletes '!P17</f>
        <v>0</v>
      </c>
      <c r="F50" s="1413"/>
      <c r="G50" s="1358"/>
      <c r="H50" s="1358"/>
      <c r="I50" s="1358"/>
      <c r="J50" s="1358"/>
      <c r="K50" s="1358">
        <f t="shared" si="27"/>
        <v>0</v>
      </c>
      <c r="L50" s="1358">
        <f t="shared" si="28"/>
        <v>0</v>
      </c>
      <c r="M50" s="1358">
        <f t="shared" si="29"/>
        <v>0</v>
      </c>
      <c r="N50" s="1413"/>
    </row>
    <row r="51" spans="1:14" ht="23.25" x14ac:dyDescent="0.35">
      <c r="A51" s="1408" t="s">
        <v>785</v>
      </c>
      <c r="B51" s="1431" t="s">
        <v>299</v>
      </c>
      <c r="C51" s="1358"/>
      <c r="D51" s="1358"/>
      <c r="E51" s="1358"/>
      <c r="F51" s="1413"/>
      <c r="G51" s="1358"/>
      <c r="H51" s="1358"/>
      <c r="I51" s="1358"/>
      <c r="J51" s="1358"/>
      <c r="K51" s="1358">
        <f t="shared" si="27"/>
        <v>0</v>
      </c>
      <c r="L51" s="1358">
        <f t="shared" si="28"/>
        <v>0</v>
      </c>
      <c r="M51" s="1358">
        <f t="shared" si="29"/>
        <v>0</v>
      </c>
      <c r="N51" s="1413"/>
    </row>
    <row r="52" spans="1:14" ht="23.25" x14ac:dyDescent="0.35">
      <c r="A52" s="1408" t="s">
        <v>785</v>
      </c>
      <c r="B52" s="1431" t="s">
        <v>155</v>
      </c>
      <c r="C52" s="1358"/>
      <c r="D52" s="1358"/>
      <c r="E52" s="1358"/>
      <c r="F52" s="1413"/>
      <c r="G52" s="1358"/>
      <c r="H52" s="1358"/>
      <c r="I52" s="1358"/>
      <c r="J52" s="1358"/>
      <c r="K52" s="1358">
        <f t="shared" si="27"/>
        <v>0</v>
      </c>
      <c r="L52" s="1358">
        <f t="shared" si="28"/>
        <v>0</v>
      </c>
      <c r="M52" s="1358">
        <f t="shared" si="29"/>
        <v>0</v>
      </c>
      <c r="N52" s="1413"/>
    </row>
    <row r="53" spans="1:14" ht="23.25" x14ac:dyDescent="0.35">
      <c r="A53" s="1408" t="s">
        <v>785</v>
      </c>
      <c r="B53" s="1431" t="s">
        <v>300</v>
      </c>
      <c r="C53" s="1358"/>
      <c r="D53" s="1358"/>
      <c r="E53" s="1358"/>
      <c r="F53" s="1413"/>
      <c r="G53" s="1358"/>
      <c r="H53" s="1358"/>
      <c r="I53" s="1358"/>
      <c r="J53" s="1358"/>
      <c r="K53" s="1358">
        <f t="shared" si="27"/>
        <v>0</v>
      </c>
      <c r="L53" s="1358">
        <f t="shared" si="28"/>
        <v>0</v>
      </c>
      <c r="M53" s="1358">
        <f t="shared" si="29"/>
        <v>0</v>
      </c>
      <c r="N53" s="1413"/>
    </row>
    <row r="54" spans="1:14" ht="23.25" x14ac:dyDescent="0.35">
      <c r="A54" s="1408" t="s">
        <v>301</v>
      </c>
      <c r="B54" s="1416" t="s">
        <v>302</v>
      </c>
      <c r="C54" s="1358">
        <f>'2.Kiadások_részletes '!N19</f>
        <v>0</v>
      </c>
      <c r="D54" s="1358">
        <f>'2.Kiadások_részletes '!O19</f>
        <v>0</v>
      </c>
      <c r="E54" s="1358">
        <f>'2.Kiadások_részletes '!P19</f>
        <v>0</v>
      </c>
      <c r="F54" s="1413"/>
      <c r="G54" s="1358"/>
      <c r="H54" s="1358"/>
      <c r="I54" s="1358"/>
      <c r="J54" s="1358"/>
      <c r="K54" s="1358">
        <f t="shared" si="27"/>
        <v>0</v>
      </c>
      <c r="L54" s="1358">
        <f t="shared" si="28"/>
        <v>0</v>
      </c>
      <c r="M54" s="1358">
        <f t="shared" si="29"/>
        <v>0</v>
      </c>
      <c r="N54" s="1413"/>
    </row>
    <row r="55" spans="1:14" ht="23.25" x14ac:dyDescent="0.35">
      <c r="A55" s="1408" t="s">
        <v>303</v>
      </c>
      <c r="B55" s="1432" t="s">
        <v>446</v>
      </c>
      <c r="C55" s="1358">
        <f>'2.Kiadások_részletes '!N21</f>
        <v>635</v>
      </c>
      <c r="D55" s="1358">
        <f>'2.Kiadások_részletes '!O21</f>
        <v>5695</v>
      </c>
      <c r="E55" s="1358">
        <f>'2.Kiadások_részletes '!P21</f>
        <v>5691</v>
      </c>
      <c r="F55" s="1413">
        <f t="shared" ref="F55" si="31">E55/D55%</f>
        <v>99.9297629499561</v>
      </c>
      <c r="G55" s="1358"/>
      <c r="H55" s="1358"/>
      <c r="I55" s="1358"/>
      <c r="J55" s="1358"/>
      <c r="K55" s="1358">
        <f t="shared" si="27"/>
        <v>635</v>
      </c>
      <c r="L55" s="1358">
        <f t="shared" si="28"/>
        <v>5695</v>
      </c>
      <c r="M55" s="1358">
        <f t="shared" si="29"/>
        <v>5691</v>
      </c>
      <c r="N55" s="1413">
        <f t="shared" ref="N55" si="32">M55/L55%</f>
        <v>99.9297629499561</v>
      </c>
    </row>
    <row r="56" spans="1:14" ht="23.25" x14ac:dyDescent="0.35">
      <c r="A56" s="1408" t="s">
        <v>304</v>
      </c>
      <c r="B56" s="1416" t="s">
        <v>305</v>
      </c>
      <c r="C56" s="1358">
        <f>'2.Kiadások_részletes '!N22</f>
        <v>0</v>
      </c>
      <c r="D56" s="1358">
        <f>'2.Kiadások_részletes '!O22</f>
        <v>0</v>
      </c>
      <c r="E56" s="1358">
        <f>'2.Kiadások_részletes '!P22</f>
        <v>0</v>
      </c>
      <c r="F56" s="1413"/>
      <c r="G56" s="1358"/>
      <c r="H56" s="1358"/>
      <c r="I56" s="1358"/>
      <c r="J56" s="1358"/>
      <c r="K56" s="1358">
        <f t="shared" si="27"/>
        <v>0</v>
      </c>
      <c r="L56" s="1358">
        <f t="shared" si="28"/>
        <v>0</v>
      </c>
      <c r="M56" s="1358">
        <f t="shared" si="29"/>
        <v>0</v>
      </c>
      <c r="N56" s="1413"/>
    </row>
    <row r="57" spans="1:14" ht="46.5" x14ac:dyDescent="0.35">
      <c r="A57" s="1408" t="s">
        <v>251</v>
      </c>
      <c r="B57" s="1416" t="s">
        <v>154</v>
      </c>
      <c r="C57" s="1358">
        <f>'2.Kiadások_részletes '!N23</f>
        <v>0</v>
      </c>
      <c r="D57" s="1358">
        <f>'2.Kiadások_részletes '!O23</f>
        <v>0</v>
      </c>
      <c r="E57" s="1358">
        <f>'2.Kiadások_részletes '!P23</f>
        <v>0</v>
      </c>
      <c r="F57" s="1413"/>
      <c r="G57" s="1358"/>
      <c r="H57" s="1358"/>
      <c r="I57" s="1358"/>
      <c r="J57" s="1358"/>
      <c r="K57" s="1358">
        <f t="shared" si="27"/>
        <v>0</v>
      </c>
      <c r="L57" s="1358">
        <f t="shared" si="28"/>
        <v>0</v>
      </c>
      <c r="M57" s="1358">
        <f t="shared" si="29"/>
        <v>0</v>
      </c>
      <c r="N57" s="1413"/>
    </row>
    <row r="58" spans="1:14" ht="46.5" x14ac:dyDescent="0.35">
      <c r="A58" s="1408" t="s">
        <v>306</v>
      </c>
      <c r="B58" s="1416" t="s">
        <v>307</v>
      </c>
      <c r="C58" s="1358">
        <f>'2.Kiadások_részletes '!N24</f>
        <v>0</v>
      </c>
      <c r="D58" s="1358">
        <f>'2.Kiadások_részletes '!O24</f>
        <v>0</v>
      </c>
      <c r="E58" s="1358">
        <f>'2.Kiadások_részletes '!P24</f>
        <v>0</v>
      </c>
      <c r="F58" s="1413"/>
      <c r="G58" s="1358"/>
      <c r="H58" s="1358"/>
      <c r="I58" s="1358"/>
      <c r="J58" s="1358"/>
      <c r="K58" s="1358">
        <f t="shared" si="27"/>
        <v>0</v>
      </c>
      <c r="L58" s="1358">
        <f t="shared" si="28"/>
        <v>0</v>
      </c>
      <c r="M58" s="1358">
        <f t="shared" si="29"/>
        <v>0</v>
      </c>
      <c r="N58" s="1413"/>
    </row>
    <row r="59" spans="1:14" ht="23.25" x14ac:dyDescent="0.35">
      <c r="A59" s="1408" t="s">
        <v>308</v>
      </c>
      <c r="B59" s="1416" t="s">
        <v>309</v>
      </c>
      <c r="C59" s="1358">
        <f>SUM(C57:C58)</f>
        <v>0</v>
      </c>
      <c r="D59" s="1358">
        <f>SUM(D57:D58)</f>
        <v>0</v>
      </c>
      <c r="E59" s="1358">
        <f>SUM(E57:E58)</f>
        <v>0</v>
      </c>
      <c r="F59" s="1413"/>
      <c r="G59" s="1358"/>
      <c r="H59" s="1358"/>
      <c r="I59" s="1358"/>
      <c r="J59" s="1358"/>
      <c r="K59" s="1358">
        <f t="shared" si="27"/>
        <v>0</v>
      </c>
      <c r="L59" s="1358">
        <f t="shared" si="28"/>
        <v>0</v>
      </c>
      <c r="M59" s="1358">
        <f t="shared" si="29"/>
        <v>0</v>
      </c>
      <c r="N59" s="1413"/>
    </row>
    <row r="60" spans="1:14" ht="23.25" x14ac:dyDescent="0.35">
      <c r="A60" s="1409"/>
      <c r="B60" s="1433" t="s">
        <v>324</v>
      </c>
      <c r="C60" s="1434">
        <f>SUM(C45:C48,C54)</f>
        <v>270415</v>
      </c>
      <c r="D60" s="1434">
        <f>SUM(D45:D48,D54)</f>
        <v>317054</v>
      </c>
      <c r="E60" s="1434">
        <f>SUM(E45:E48,E54)</f>
        <v>297067</v>
      </c>
      <c r="F60" s="1435">
        <f t="shared" ref="F60:F62" si="33">E60/D60%</f>
        <v>93.696026544374149</v>
      </c>
      <c r="G60" s="1434">
        <f>SUM(G45:G48,G54)</f>
        <v>0</v>
      </c>
      <c r="H60" s="1434"/>
      <c r="I60" s="1434"/>
      <c r="J60" s="1434"/>
      <c r="K60" s="1434">
        <f t="shared" si="27"/>
        <v>270415</v>
      </c>
      <c r="L60" s="1434">
        <f t="shared" si="28"/>
        <v>317054</v>
      </c>
      <c r="M60" s="1434">
        <f t="shared" si="29"/>
        <v>297067</v>
      </c>
      <c r="N60" s="1435">
        <f t="shared" ref="N60:N62" si="34">M60/L60%</f>
        <v>93.696026544374149</v>
      </c>
    </row>
    <row r="61" spans="1:14" ht="23.25" x14ac:dyDescent="0.35">
      <c r="A61" s="1409"/>
      <c r="B61" s="1433" t="s">
        <v>325</v>
      </c>
      <c r="C61" s="1434">
        <f>SUM(C55:C59,C59)</f>
        <v>635</v>
      </c>
      <c r="D61" s="1434">
        <f>SUM(D55:D59,D59)</f>
        <v>5695</v>
      </c>
      <c r="E61" s="1434">
        <f>SUM(E55:E59,E59)</f>
        <v>5691</v>
      </c>
      <c r="F61" s="1435">
        <f t="shared" si="33"/>
        <v>99.9297629499561</v>
      </c>
      <c r="G61" s="1434">
        <v>0</v>
      </c>
      <c r="H61" s="1434"/>
      <c r="I61" s="1434"/>
      <c r="J61" s="1434"/>
      <c r="K61" s="1434">
        <f t="shared" si="27"/>
        <v>635</v>
      </c>
      <c r="L61" s="1434">
        <f t="shared" si="28"/>
        <v>5695</v>
      </c>
      <c r="M61" s="1434">
        <f t="shared" si="29"/>
        <v>5691</v>
      </c>
      <c r="N61" s="1435">
        <f t="shared" si="34"/>
        <v>99.9297629499561</v>
      </c>
    </row>
    <row r="62" spans="1:14" ht="23.25" x14ac:dyDescent="0.35">
      <c r="A62" s="258" t="s">
        <v>310</v>
      </c>
      <c r="B62" s="1420" t="s">
        <v>311</v>
      </c>
      <c r="C62" s="1373">
        <f>C60+C61</f>
        <v>271050</v>
      </c>
      <c r="D62" s="1373">
        <f>D60+D61</f>
        <v>322749</v>
      </c>
      <c r="E62" s="1373">
        <f>E60+E61</f>
        <v>302758</v>
      </c>
      <c r="F62" s="1421">
        <f t="shared" si="33"/>
        <v>93.806022636785869</v>
      </c>
      <c r="G62" s="1373">
        <f>SUM(G60:G61)</f>
        <v>0</v>
      </c>
      <c r="H62" s="1373"/>
      <c r="I62" s="1373"/>
      <c r="J62" s="1373"/>
      <c r="K62" s="1373">
        <f t="shared" si="27"/>
        <v>271050</v>
      </c>
      <c r="L62" s="1373">
        <f t="shared" si="28"/>
        <v>322749</v>
      </c>
      <c r="M62" s="1373">
        <f t="shared" si="29"/>
        <v>302758</v>
      </c>
      <c r="N62" s="1421">
        <f t="shared" si="34"/>
        <v>93.806022636785869</v>
      </c>
    </row>
    <row r="63" spans="1:14" ht="23.25" x14ac:dyDescent="0.35">
      <c r="A63" s="259" t="s">
        <v>312</v>
      </c>
      <c r="B63" s="1416" t="s">
        <v>252</v>
      </c>
      <c r="C63" s="1393"/>
      <c r="D63" s="1393"/>
      <c r="E63" s="1393"/>
      <c r="F63" s="1436"/>
      <c r="G63" s="1393"/>
      <c r="H63" s="1393"/>
      <c r="I63" s="1393"/>
      <c r="J63" s="1393"/>
      <c r="K63" s="1393">
        <f t="shared" si="27"/>
        <v>0</v>
      </c>
      <c r="L63" s="1393">
        <f t="shared" si="28"/>
        <v>0</v>
      </c>
      <c r="M63" s="1393">
        <f t="shared" si="29"/>
        <v>0</v>
      </c>
      <c r="N63" s="1436"/>
    </row>
    <row r="64" spans="1:14" ht="23.25" x14ac:dyDescent="0.35">
      <c r="A64" s="259" t="s">
        <v>326</v>
      </c>
      <c r="B64" s="1416" t="s">
        <v>327</v>
      </c>
      <c r="C64" s="525"/>
      <c r="D64" s="525"/>
      <c r="E64" s="525"/>
      <c r="F64" s="1437"/>
      <c r="G64" s="525"/>
      <c r="H64" s="525"/>
      <c r="I64" s="525"/>
      <c r="J64" s="525"/>
      <c r="K64" s="525">
        <f t="shared" si="27"/>
        <v>0</v>
      </c>
      <c r="L64" s="525">
        <f t="shared" si="28"/>
        <v>0</v>
      </c>
      <c r="M64" s="525">
        <f t="shared" si="29"/>
        <v>0</v>
      </c>
      <c r="N64" s="1437"/>
    </row>
    <row r="65" spans="1:14" ht="23.25" x14ac:dyDescent="0.35">
      <c r="A65" s="1403" t="s">
        <v>322</v>
      </c>
      <c r="B65" s="1424" t="s">
        <v>42</v>
      </c>
      <c r="C65" s="1373">
        <f>SUM(C63:C64)</f>
        <v>0</v>
      </c>
      <c r="D65" s="1373">
        <f>SUM(D63:D64)</f>
        <v>0</v>
      </c>
      <c r="E65" s="1373">
        <f>SUM(E63:E64)</f>
        <v>0</v>
      </c>
      <c r="F65" s="1421"/>
      <c r="G65" s="1373">
        <f>SUM(G63:G64)</f>
        <v>0</v>
      </c>
      <c r="H65" s="1373"/>
      <c r="I65" s="1373"/>
      <c r="J65" s="1373"/>
      <c r="K65" s="1373">
        <f t="shared" si="27"/>
        <v>0</v>
      </c>
      <c r="L65" s="1373">
        <f t="shared" si="28"/>
        <v>0</v>
      </c>
      <c r="M65" s="1373">
        <f t="shared" si="29"/>
        <v>0</v>
      </c>
      <c r="N65" s="1421"/>
    </row>
    <row r="66" spans="1:14" ht="24" thickBot="1" x14ac:dyDescent="0.4">
      <c r="A66" s="889"/>
      <c r="B66" s="1425" t="s">
        <v>346</v>
      </c>
      <c r="C66" s="1384">
        <f>SUM(C62,C65)</f>
        <v>271050</v>
      </c>
      <c r="D66" s="1384">
        <f>SUM(D62,D65)</f>
        <v>322749</v>
      </c>
      <c r="E66" s="1384">
        <f>SUM(E62,E65)</f>
        <v>302758</v>
      </c>
      <c r="F66" s="1426">
        <f t="shared" ref="F66" si="35">E66/D66%</f>
        <v>93.806022636785869</v>
      </c>
      <c r="G66" s="1384">
        <f>SUM(G62,G65)</f>
        <v>0</v>
      </c>
      <c r="H66" s="1384"/>
      <c r="I66" s="1384"/>
      <c r="J66" s="1384"/>
      <c r="K66" s="1384">
        <f t="shared" si="27"/>
        <v>271050</v>
      </c>
      <c r="L66" s="1384">
        <f t="shared" si="28"/>
        <v>322749</v>
      </c>
      <c r="M66" s="1384">
        <f t="shared" si="29"/>
        <v>302758</v>
      </c>
      <c r="N66" s="1426">
        <f t="shared" ref="N66" si="36">M66/L66%</f>
        <v>93.806022636785869</v>
      </c>
    </row>
    <row r="68" spans="1:14" ht="23.25" x14ac:dyDescent="0.35">
      <c r="K68" s="1438"/>
      <c r="L68" s="1438"/>
      <c r="M68" s="1438"/>
      <c r="N68" s="1438"/>
    </row>
    <row r="69" spans="1:14" ht="23.25" x14ac:dyDescent="0.35">
      <c r="K69" s="1438"/>
      <c r="L69" s="1438"/>
      <c r="M69" s="1438"/>
      <c r="N69" s="1438"/>
    </row>
  </sheetData>
  <mergeCells count="13">
    <mergeCell ref="A1:N1"/>
    <mergeCell ref="A2:N2"/>
    <mergeCell ref="A4:N4"/>
    <mergeCell ref="A43:A44"/>
    <mergeCell ref="B43:B44"/>
    <mergeCell ref="C43:F43"/>
    <mergeCell ref="G43:J43"/>
    <mergeCell ref="K43:N43"/>
    <mergeCell ref="A7:A8"/>
    <mergeCell ref="B7:B8"/>
    <mergeCell ref="C7:F7"/>
    <mergeCell ref="G7:J7"/>
    <mergeCell ref="K7:N7"/>
  </mergeCells>
  <printOptions horizontalCentered="1"/>
  <pageMargins left="0.31496062992125984" right="0.27559055118110237" top="0.27559055118110237" bottom="0.31496062992125984" header="0.51181102362204722" footer="0.15748031496062992"/>
  <pageSetup paperSize="9" scale="3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72"/>
  <sheetViews>
    <sheetView view="pageBreakPreview" zoomScale="70" zoomScaleSheetLayoutView="70" workbookViewId="0">
      <selection activeCell="A2" sqref="A2:O2"/>
    </sheetView>
  </sheetViews>
  <sheetFormatPr defaultRowHeight="15" customHeight="1" x14ac:dyDescent="0.2"/>
  <cols>
    <col min="1" max="1" width="14.140625" style="97" customWidth="1"/>
    <col min="2" max="2" width="74.85546875" style="97" customWidth="1"/>
    <col min="3" max="3" width="17.140625" style="97" customWidth="1"/>
    <col min="4" max="4" width="18.140625" style="97" customWidth="1"/>
    <col min="5" max="5" width="17" style="97" customWidth="1"/>
    <col min="6" max="6" width="12.5703125" style="97" customWidth="1"/>
    <col min="7" max="7" width="17.140625" style="97" customWidth="1"/>
    <col min="8" max="8" width="18" style="97" customWidth="1"/>
    <col min="9" max="9" width="17.7109375" style="97" customWidth="1"/>
    <col min="10" max="10" width="13" style="97" customWidth="1"/>
    <col min="11" max="11" width="17.7109375" style="97" customWidth="1"/>
    <col min="12" max="12" width="18.140625" style="97" customWidth="1"/>
    <col min="13" max="13" width="17.7109375" style="97" customWidth="1"/>
    <col min="14" max="14" width="14.7109375" style="97" customWidth="1"/>
    <col min="15" max="16384" width="9.140625" style="97"/>
  </cols>
  <sheetData>
    <row r="1" spans="1:14" s="855" customFormat="1" ht="26.25" x14ac:dyDescent="0.4">
      <c r="A1" s="2442" t="str">
        <f>'6. Köt+önk_Szakorvosi'!A1:K1</f>
        <v>Pilisvörösvár Város Önkormányzata Képviselő-testületének 7/2018. (IV. 27.) önkormányzati rendelete</v>
      </c>
      <c r="B1" s="2442"/>
      <c r="C1" s="2442"/>
      <c r="D1" s="2442"/>
      <c r="E1" s="2442"/>
      <c r="F1" s="2442"/>
      <c r="G1" s="2442"/>
      <c r="H1" s="2442"/>
      <c r="I1" s="2442"/>
      <c r="J1" s="2442"/>
      <c r="K1" s="2442"/>
      <c r="L1" s="2443"/>
      <c r="M1" s="2443"/>
      <c r="N1" s="2443"/>
    </row>
    <row r="2" spans="1:14" s="855" customFormat="1" ht="26.25" x14ac:dyDescent="0.4">
      <c r="A2" s="2442" t="str">
        <f>'6. Köt+önk_Szakorvosi'!A2:K2</f>
        <v>az Önkormányzat  2017. évi zárszámadásáról</v>
      </c>
      <c r="B2" s="2442"/>
      <c r="C2" s="2442"/>
      <c r="D2" s="2442"/>
      <c r="E2" s="2442"/>
      <c r="F2" s="2442"/>
      <c r="G2" s="2442"/>
      <c r="H2" s="2442"/>
      <c r="I2" s="2442"/>
      <c r="J2" s="2442"/>
      <c r="K2" s="2442"/>
      <c r="L2" s="2443"/>
      <c r="M2" s="2443"/>
      <c r="N2" s="2443"/>
    </row>
    <row r="3" spans="1:14" s="855" customFormat="1" ht="26.25" x14ac:dyDescent="0.4">
      <c r="A3" s="1493"/>
      <c r="B3" s="1493"/>
      <c r="C3" s="1493"/>
      <c r="D3" s="1493"/>
      <c r="E3" s="1493"/>
      <c r="F3" s="1493"/>
      <c r="G3" s="1493"/>
      <c r="H3" s="1493"/>
      <c r="I3" s="1493"/>
      <c r="J3" s="1493"/>
      <c r="K3" s="1493"/>
      <c r="L3" s="1493"/>
      <c r="M3" s="1493"/>
      <c r="N3" s="1493"/>
    </row>
    <row r="4" spans="1:14" s="855" customFormat="1" ht="26.25" x14ac:dyDescent="0.4">
      <c r="A4" s="2442" t="str">
        <f>Tartalomjegyzék_2017!B14</f>
        <v>Ligeti Cseperedő Óvoda költségvetése kötelező és önként vállalt feladat szerinti bontásban</v>
      </c>
      <c r="B4" s="2442"/>
      <c r="C4" s="2442"/>
      <c r="D4" s="2442"/>
      <c r="E4" s="2442"/>
      <c r="F4" s="2442"/>
      <c r="G4" s="2442"/>
      <c r="H4" s="2442"/>
      <c r="I4" s="2442"/>
      <c r="J4" s="2442"/>
      <c r="K4" s="2442"/>
      <c r="L4" s="2443"/>
      <c r="M4" s="2443"/>
      <c r="N4" s="2443"/>
    </row>
    <row r="5" spans="1:14" s="855" customFormat="1" ht="26.25" x14ac:dyDescent="0.4">
      <c r="A5" s="1493"/>
      <c r="B5" s="1493"/>
      <c r="C5" s="1493"/>
      <c r="D5" s="1493"/>
      <c r="E5" s="1493"/>
      <c r="F5" s="1493"/>
      <c r="G5" s="1493"/>
      <c r="H5" s="1493"/>
      <c r="I5" s="1493"/>
      <c r="J5" s="1493"/>
      <c r="K5" s="1493"/>
      <c r="L5" s="1497"/>
      <c r="M5" s="1497"/>
      <c r="N5" s="1497" t="s">
        <v>16</v>
      </c>
    </row>
    <row r="6" spans="1:14" s="855" customFormat="1" ht="27" thickBot="1" x14ac:dyDescent="0.45">
      <c r="A6" s="1493"/>
      <c r="B6" s="1493"/>
      <c r="C6" s="1493"/>
      <c r="D6" s="1493"/>
      <c r="E6" s="1493"/>
      <c r="F6" s="1493"/>
      <c r="G6" s="1493"/>
      <c r="H6" s="1493"/>
      <c r="I6" s="1493"/>
      <c r="J6" s="1493"/>
      <c r="K6" s="1493"/>
      <c r="L6" s="1497"/>
      <c r="M6" s="1497"/>
      <c r="N6" s="1497" t="s">
        <v>323</v>
      </c>
    </row>
    <row r="7" spans="1:14" s="855" customFormat="1" ht="25.5" customHeight="1" x14ac:dyDescent="0.35">
      <c r="A7" s="2419" t="s">
        <v>364</v>
      </c>
      <c r="B7" s="2444" t="s">
        <v>799</v>
      </c>
      <c r="C7" s="2446" t="s">
        <v>152</v>
      </c>
      <c r="D7" s="2447"/>
      <c r="E7" s="2447"/>
      <c r="F7" s="2448"/>
      <c r="G7" s="2449" t="s">
        <v>1107</v>
      </c>
      <c r="H7" s="2447"/>
      <c r="I7" s="2447"/>
      <c r="J7" s="2450"/>
      <c r="K7" s="2446" t="s">
        <v>444</v>
      </c>
      <c r="L7" s="2447"/>
      <c r="M7" s="2447"/>
      <c r="N7" s="2448"/>
    </row>
    <row r="8" spans="1:14" s="855" customFormat="1" ht="121.5" x14ac:dyDescent="0.3">
      <c r="A8" s="2431"/>
      <c r="B8" s="2445" t="s">
        <v>799</v>
      </c>
      <c r="C8" s="1317" t="s">
        <v>1101</v>
      </c>
      <c r="D8" s="1318" t="s">
        <v>1102</v>
      </c>
      <c r="E8" s="1318" t="s">
        <v>1103</v>
      </c>
      <c r="F8" s="1319" t="s">
        <v>1084</v>
      </c>
      <c r="G8" s="1320" t="s">
        <v>1104</v>
      </c>
      <c r="H8" s="1318" t="s">
        <v>1105</v>
      </c>
      <c r="I8" s="1318" t="s">
        <v>1106</v>
      </c>
      <c r="J8" s="1321" t="s">
        <v>1084</v>
      </c>
      <c r="K8" s="2162" t="s">
        <v>1007</v>
      </c>
      <c r="L8" s="1318" t="s">
        <v>1069</v>
      </c>
      <c r="M8" s="1318" t="s">
        <v>1108</v>
      </c>
      <c r="N8" s="1319" t="s">
        <v>1084</v>
      </c>
    </row>
    <row r="9" spans="1:14" s="53" customFormat="1" ht="23.25" x14ac:dyDescent="0.35">
      <c r="A9" s="105" t="s">
        <v>374</v>
      </c>
      <c r="B9" s="1344" t="s">
        <v>373</v>
      </c>
      <c r="C9" s="1357"/>
      <c r="D9" s="1358"/>
      <c r="E9" s="1358"/>
      <c r="F9" s="1382"/>
      <c r="G9" s="1360"/>
      <c r="H9" s="1358"/>
      <c r="I9" s="1358"/>
      <c r="J9" s="1361"/>
      <c r="K9" s="1357">
        <f>C9+G9</f>
        <v>0</v>
      </c>
      <c r="L9" s="1358">
        <f>D9+H9</f>
        <v>0</v>
      </c>
      <c r="M9" s="1358">
        <f>E9+I9</f>
        <v>0</v>
      </c>
      <c r="N9" s="1382"/>
    </row>
    <row r="10" spans="1:14" s="53" customFormat="1" ht="46.5" x14ac:dyDescent="0.35">
      <c r="A10" s="105" t="s">
        <v>376</v>
      </c>
      <c r="B10" s="1344" t="s">
        <v>375</v>
      </c>
      <c r="C10" s="1357"/>
      <c r="D10" s="1358">
        <f>'3. Gesz költségvetés'!E10</f>
        <v>82</v>
      </c>
      <c r="E10" s="1358">
        <f>'3. Gesz költségvetés'!F10</f>
        <v>82</v>
      </c>
      <c r="F10" s="1359">
        <f>E10/D10%</f>
        <v>100</v>
      </c>
      <c r="G10" s="1360"/>
      <c r="H10" s="1358"/>
      <c r="I10" s="1358"/>
      <c r="J10" s="1361"/>
      <c r="K10" s="1357">
        <f t="shared" ref="K10:K21" si="0">C10+G10</f>
        <v>0</v>
      </c>
      <c r="L10" s="1358">
        <f t="shared" ref="L10:L21" si="1">D10+H10</f>
        <v>82</v>
      </c>
      <c r="M10" s="1358">
        <f t="shared" ref="M10:M21" si="2">E10+I10</f>
        <v>82</v>
      </c>
      <c r="N10" s="1359">
        <f>M10/L10%</f>
        <v>100</v>
      </c>
    </row>
    <row r="11" spans="1:14" s="53" customFormat="1" ht="45" x14ac:dyDescent="0.3">
      <c r="A11" s="109" t="s">
        <v>378</v>
      </c>
      <c r="B11" s="1345" t="s">
        <v>377</v>
      </c>
      <c r="C11" s="1362">
        <f>SUM(C9:C10)</f>
        <v>0</v>
      </c>
      <c r="D11" s="1363">
        <f t="shared" ref="D11:E11" si="3">SUM(D9:D10)</f>
        <v>82</v>
      </c>
      <c r="E11" s="1363">
        <f t="shared" si="3"/>
        <v>82</v>
      </c>
      <c r="F11" s="1364">
        <f>E11/D11%</f>
        <v>100</v>
      </c>
      <c r="G11" s="1365"/>
      <c r="H11" s="1363"/>
      <c r="I11" s="1363"/>
      <c r="J11" s="1366"/>
      <c r="K11" s="1362">
        <f t="shared" si="0"/>
        <v>0</v>
      </c>
      <c r="L11" s="1363">
        <f t="shared" si="1"/>
        <v>82</v>
      </c>
      <c r="M11" s="1363">
        <f t="shared" si="2"/>
        <v>82</v>
      </c>
      <c r="N11" s="1364">
        <f>M11/L11%</f>
        <v>100</v>
      </c>
    </row>
    <row r="12" spans="1:14" s="53" customFormat="1" ht="45" x14ac:dyDescent="0.3">
      <c r="A12" s="109" t="s">
        <v>382</v>
      </c>
      <c r="B12" s="1345" t="s">
        <v>381</v>
      </c>
      <c r="C12" s="1362"/>
      <c r="D12" s="1363"/>
      <c r="E12" s="1363"/>
      <c r="F12" s="1439"/>
      <c r="G12" s="1365"/>
      <c r="H12" s="1363"/>
      <c r="I12" s="1363"/>
      <c r="J12" s="1366"/>
      <c r="K12" s="1362">
        <f t="shared" si="0"/>
        <v>0</v>
      </c>
      <c r="L12" s="1363">
        <f t="shared" si="1"/>
        <v>0</v>
      </c>
      <c r="M12" s="1363">
        <f t="shared" si="2"/>
        <v>0</v>
      </c>
      <c r="N12" s="1439"/>
    </row>
    <row r="13" spans="1:14" ht="46.5" x14ac:dyDescent="0.35">
      <c r="A13" s="747" t="s">
        <v>146</v>
      </c>
      <c r="B13" s="2077" t="s">
        <v>157</v>
      </c>
      <c r="C13" s="1362"/>
      <c r="D13" s="1363"/>
      <c r="E13" s="1363"/>
      <c r="F13" s="1439"/>
      <c r="G13" s="1365"/>
      <c r="H13" s="1363"/>
      <c r="I13" s="1363"/>
      <c r="J13" s="1366"/>
      <c r="K13" s="1357">
        <f t="shared" si="0"/>
        <v>0</v>
      </c>
      <c r="L13" s="1358">
        <f t="shared" si="1"/>
        <v>0</v>
      </c>
      <c r="M13" s="1358">
        <f t="shared" si="2"/>
        <v>0</v>
      </c>
      <c r="N13" s="1382"/>
    </row>
    <row r="14" spans="1:14" s="53" customFormat="1" ht="46.5" x14ac:dyDescent="0.35">
      <c r="A14" s="105" t="s">
        <v>103</v>
      </c>
      <c r="B14" s="1344" t="s">
        <v>156</v>
      </c>
      <c r="C14" s="1357"/>
      <c r="D14" s="1358"/>
      <c r="E14" s="1358"/>
      <c r="F14" s="1382"/>
      <c r="G14" s="1360"/>
      <c r="H14" s="1358"/>
      <c r="I14" s="1358"/>
      <c r="J14" s="1361"/>
      <c r="K14" s="1357">
        <f t="shared" si="0"/>
        <v>0</v>
      </c>
      <c r="L14" s="1358">
        <f t="shared" si="1"/>
        <v>0</v>
      </c>
      <c r="M14" s="1358">
        <f t="shared" si="2"/>
        <v>0</v>
      </c>
      <c r="N14" s="1382"/>
    </row>
    <row r="15" spans="1:14" s="53" customFormat="1" ht="23.25" x14ac:dyDescent="0.35">
      <c r="A15" s="105" t="s">
        <v>385</v>
      </c>
      <c r="B15" s="1344" t="s">
        <v>153</v>
      </c>
      <c r="C15" s="1357"/>
      <c r="D15" s="1358"/>
      <c r="E15" s="1358"/>
      <c r="F15" s="1382"/>
      <c r="G15" s="1360"/>
      <c r="H15" s="1358"/>
      <c r="I15" s="1358"/>
      <c r="J15" s="1361"/>
      <c r="K15" s="1357">
        <f t="shared" si="0"/>
        <v>0</v>
      </c>
      <c r="L15" s="1358">
        <f t="shared" si="1"/>
        <v>0</v>
      </c>
      <c r="M15" s="1358">
        <f t="shared" si="2"/>
        <v>0</v>
      </c>
      <c r="N15" s="1382"/>
    </row>
    <row r="16" spans="1:14" s="53" customFormat="1" ht="22.5" x14ac:dyDescent="0.3">
      <c r="A16" s="109" t="s">
        <v>387</v>
      </c>
      <c r="B16" s="1345" t="s">
        <v>386</v>
      </c>
      <c r="C16" s="1362"/>
      <c r="D16" s="1363"/>
      <c r="E16" s="1363"/>
      <c r="F16" s="1439"/>
      <c r="G16" s="1365"/>
      <c r="H16" s="1363"/>
      <c r="I16" s="1363"/>
      <c r="J16" s="1366"/>
      <c r="K16" s="1362">
        <f t="shared" si="0"/>
        <v>0</v>
      </c>
      <c r="L16" s="1363">
        <f t="shared" si="1"/>
        <v>0</v>
      </c>
      <c r="M16" s="1363">
        <f t="shared" si="2"/>
        <v>0</v>
      </c>
      <c r="N16" s="1439"/>
    </row>
    <row r="17" spans="1:14" s="53" customFormat="1" ht="23.25" x14ac:dyDescent="0.35">
      <c r="A17" s="105" t="s">
        <v>114</v>
      </c>
      <c r="B17" s="1347" t="s">
        <v>388</v>
      </c>
      <c r="C17" s="1357"/>
      <c r="D17" s="1358"/>
      <c r="E17" s="1358"/>
      <c r="F17" s="1382"/>
      <c r="G17" s="1360"/>
      <c r="H17" s="1358"/>
      <c r="I17" s="1358"/>
      <c r="J17" s="1361"/>
      <c r="K17" s="1357">
        <f t="shared" si="0"/>
        <v>0</v>
      </c>
      <c r="L17" s="1358">
        <f t="shared" si="1"/>
        <v>0</v>
      </c>
      <c r="M17" s="1358">
        <f t="shared" si="2"/>
        <v>0</v>
      </c>
      <c r="N17" s="1382"/>
    </row>
    <row r="18" spans="1:14" s="53" customFormat="1" ht="23.25" x14ac:dyDescent="0.35">
      <c r="A18" s="105" t="s">
        <v>113</v>
      </c>
      <c r="B18" s="1344" t="s">
        <v>116</v>
      </c>
      <c r="C18" s="1357"/>
      <c r="D18" s="1358"/>
      <c r="E18" s="1358"/>
      <c r="F18" s="1382"/>
      <c r="G18" s="1360">
        <v>250</v>
      </c>
      <c r="H18" s="1358">
        <f>'3. Gesz költségvetés'!E24</f>
        <v>272</v>
      </c>
      <c r="I18" s="1358">
        <f>'3. Gesz költségvetés'!F24</f>
        <v>272</v>
      </c>
      <c r="J18" s="1388">
        <f>I18/H18%</f>
        <v>99.999999999999986</v>
      </c>
      <c r="K18" s="1357">
        <f t="shared" si="0"/>
        <v>250</v>
      </c>
      <c r="L18" s="1358">
        <f t="shared" si="1"/>
        <v>272</v>
      </c>
      <c r="M18" s="1358">
        <f t="shared" si="2"/>
        <v>272</v>
      </c>
      <c r="N18" s="1359">
        <f>M18/L18%</f>
        <v>99.999999999999986</v>
      </c>
    </row>
    <row r="19" spans="1:14" s="53" customFormat="1" ht="46.5" x14ac:dyDescent="0.35">
      <c r="A19" s="105" t="s">
        <v>112</v>
      </c>
      <c r="B19" s="1344" t="s">
        <v>107</v>
      </c>
      <c r="C19" s="1357"/>
      <c r="D19" s="1358"/>
      <c r="E19" s="1358"/>
      <c r="F19" s="1382"/>
      <c r="G19" s="1360"/>
      <c r="H19" s="1358"/>
      <c r="I19" s="1358"/>
      <c r="J19" s="1361"/>
      <c r="K19" s="1357">
        <f t="shared" si="0"/>
        <v>0</v>
      </c>
      <c r="L19" s="1358">
        <f t="shared" si="1"/>
        <v>0</v>
      </c>
      <c r="M19" s="1358">
        <f t="shared" si="2"/>
        <v>0</v>
      </c>
      <c r="N19" s="1382"/>
    </row>
    <row r="20" spans="1:14" s="53" customFormat="1" ht="23.25" x14ac:dyDescent="0.35">
      <c r="A20" s="105" t="s">
        <v>395</v>
      </c>
      <c r="B20" s="1344" t="s">
        <v>394</v>
      </c>
      <c r="C20" s="1357"/>
      <c r="D20" s="1358"/>
      <c r="E20" s="1358"/>
      <c r="F20" s="1382"/>
      <c r="G20" s="1360"/>
      <c r="H20" s="1358"/>
      <c r="I20" s="1358"/>
      <c r="J20" s="1361"/>
      <c r="K20" s="1357">
        <f t="shared" si="0"/>
        <v>0</v>
      </c>
      <c r="L20" s="1358">
        <f t="shared" si="1"/>
        <v>0</v>
      </c>
      <c r="M20" s="1358">
        <f t="shared" si="2"/>
        <v>0</v>
      </c>
      <c r="N20" s="1382"/>
    </row>
    <row r="21" spans="1:14" s="53" customFormat="1" ht="23.25" x14ac:dyDescent="0.35">
      <c r="A21" s="105" t="s">
        <v>397</v>
      </c>
      <c r="B21" s="1344" t="s">
        <v>396</v>
      </c>
      <c r="C21" s="1357"/>
      <c r="D21" s="1358"/>
      <c r="E21" s="1358"/>
      <c r="F21" s="1382"/>
      <c r="G21" s="1360"/>
      <c r="H21" s="1358"/>
      <c r="I21" s="1358"/>
      <c r="J21" s="1361"/>
      <c r="K21" s="1357">
        <f t="shared" si="0"/>
        <v>0</v>
      </c>
      <c r="L21" s="1358">
        <f t="shared" si="1"/>
        <v>0</v>
      </c>
      <c r="M21" s="1358">
        <f t="shared" si="2"/>
        <v>0</v>
      </c>
      <c r="N21" s="1382"/>
    </row>
    <row r="22" spans="1:14" s="53" customFormat="1" ht="23.25" x14ac:dyDescent="0.35">
      <c r="A22" s="105" t="s">
        <v>401</v>
      </c>
      <c r="B22" s="1344" t="s">
        <v>400</v>
      </c>
      <c r="C22" s="1357"/>
      <c r="D22" s="1358"/>
      <c r="E22" s="1358"/>
      <c r="F22" s="1382"/>
      <c r="G22" s="1360"/>
      <c r="H22" s="1358"/>
      <c r="I22" s="1358"/>
      <c r="J22" s="1361"/>
      <c r="K22" s="1357">
        <f>C22+G22</f>
        <v>0</v>
      </c>
      <c r="L22" s="1358">
        <f>D22+H22</f>
        <v>0</v>
      </c>
      <c r="M22" s="1358">
        <f>E22+I22</f>
        <v>0</v>
      </c>
      <c r="N22" s="1382"/>
    </row>
    <row r="23" spans="1:14" s="53" customFormat="1" ht="22.5" x14ac:dyDescent="0.3">
      <c r="A23" s="109" t="s">
        <v>403</v>
      </c>
      <c r="B23" s="1348" t="s">
        <v>402</v>
      </c>
      <c r="C23" s="1362">
        <f>SUM(C17:C22)</f>
        <v>0</v>
      </c>
      <c r="D23" s="1363">
        <f t="shared" ref="D23:E23" si="4">SUM(D17:D22)</f>
        <v>0</v>
      </c>
      <c r="E23" s="1363">
        <f t="shared" si="4"/>
        <v>0</v>
      </c>
      <c r="F23" s="1439"/>
      <c r="G23" s="1365">
        <f>SUM(G17:G22)</f>
        <v>250</v>
      </c>
      <c r="H23" s="1363">
        <f t="shared" ref="H23:I23" si="5">SUM(H17:H22)</f>
        <v>272</v>
      </c>
      <c r="I23" s="1363">
        <f t="shared" si="5"/>
        <v>272</v>
      </c>
      <c r="J23" s="2078">
        <f>I23/H23%</f>
        <v>99.999999999999986</v>
      </c>
      <c r="K23" s="1362">
        <f t="shared" ref="K23:K28" si="6">C23+G23</f>
        <v>250</v>
      </c>
      <c r="L23" s="1363">
        <f t="shared" ref="L23:L34" si="7">D23+H23</f>
        <v>272</v>
      </c>
      <c r="M23" s="1363">
        <f t="shared" ref="M23:M34" si="8">E23+I23</f>
        <v>272</v>
      </c>
      <c r="N23" s="1364">
        <f>M23/L23%</f>
        <v>99.999999999999986</v>
      </c>
    </row>
    <row r="24" spans="1:14" s="53" customFormat="1" ht="22.5" x14ac:dyDescent="0.3">
      <c r="A24" s="109" t="s">
        <v>409</v>
      </c>
      <c r="B24" s="1345" t="s">
        <v>408</v>
      </c>
      <c r="C24" s="1362"/>
      <c r="D24" s="1363"/>
      <c r="E24" s="1363"/>
      <c r="F24" s="1439"/>
      <c r="G24" s="1365"/>
      <c r="H24" s="1363"/>
      <c r="I24" s="1363"/>
      <c r="J24" s="1366"/>
      <c r="K24" s="1362">
        <f t="shared" si="6"/>
        <v>0</v>
      </c>
      <c r="L24" s="1363">
        <f t="shared" si="7"/>
        <v>0</v>
      </c>
      <c r="M24" s="1363">
        <f t="shared" si="8"/>
        <v>0</v>
      </c>
      <c r="N24" s="1439"/>
    </row>
    <row r="25" spans="1:14" s="53" customFormat="1" ht="22.5" x14ac:dyDescent="0.3">
      <c r="A25" s="109" t="s">
        <v>413</v>
      </c>
      <c r="B25" s="1345" t="s">
        <v>412</v>
      </c>
      <c r="C25" s="1362"/>
      <c r="D25" s="1363"/>
      <c r="E25" s="1363"/>
      <c r="F25" s="1439"/>
      <c r="G25" s="1365"/>
      <c r="H25" s="1363"/>
      <c r="I25" s="1363"/>
      <c r="J25" s="1366"/>
      <c r="K25" s="1362">
        <f t="shared" si="6"/>
        <v>0</v>
      </c>
      <c r="L25" s="1363">
        <f t="shared" si="7"/>
        <v>0</v>
      </c>
      <c r="M25" s="1363">
        <f t="shared" si="8"/>
        <v>0</v>
      </c>
      <c r="N25" s="1439"/>
    </row>
    <row r="26" spans="1:14" s="53" customFormat="1" ht="46.5" x14ac:dyDescent="0.35">
      <c r="A26" s="105" t="s">
        <v>415</v>
      </c>
      <c r="B26" s="1344" t="s">
        <v>414</v>
      </c>
      <c r="C26" s="1357"/>
      <c r="D26" s="1358"/>
      <c r="E26" s="1358"/>
      <c r="F26" s="1382"/>
      <c r="G26" s="1360"/>
      <c r="H26" s="1358"/>
      <c r="I26" s="1358"/>
      <c r="J26" s="1361"/>
      <c r="K26" s="1357">
        <f t="shared" si="6"/>
        <v>0</v>
      </c>
      <c r="L26" s="1358">
        <f t="shared" si="7"/>
        <v>0</v>
      </c>
      <c r="M26" s="1358">
        <f t="shared" si="8"/>
        <v>0</v>
      </c>
      <c r="N26" s="1382"/>
    </row>
    <row r="27" spans="1:14" s="53" customFormat="1" ht="23.25" x14ac:dyDescent="0.35">
      <c r="A27" s="105" t="s">
        <v>417</v>
      </c>
      <c r="B27" s="1347" t="s">
        <v>416</v>
      </c>
      <c r="C27" s="1357"/>
      <c r="D27" s="1358"/>
      <c r="E27" s="1358"/>
      <c r="F27" s="1382"/>
      <c r="G27" s="1360"/>
      <c r="H27" s="1358"/>
      <c r="I27" s="1358"/>
      <c r="J27" s="1361"/>
      <c r="K27" s="1357">
        <f t="shared" si="6"/>
        <v>0</v>
      </c>
      <c r="L27" s="1358">
        <f t="shared" si="7"/>
        <v>0</v>
      </c>
      <c r="M27" s="1358">
        <f t="shared" si="8"/>
        <v>0</v>
      </c>
      <c r="N27" s="1382"/>
    </row>
    <row r="28" spans="1:14" s="53" customFormat="1" ht="22.5" x14ac:dyDescent="0.3">
      <c r="A28" s="109" t="s">
        <v>419</v>
      </c>
      <c r="B28" s="1345" t="s">
        <v>418</v>
      </c>
      <c r="C28" s="1362"/>
      <c r="D28" s="1363"/>
      <c r="E28" s="1363"/>
      <c r="F28" s="1439"/>
      <c r="G28" s="1365"/>
      <c r="H28" s="1363"/>
      <c r="I28" s="1363"/>
      <c r="J28" s="1366"/>
      <c r="K28" s="1362">
        <f t="shared" si="6"/>
        <v>0</v>
      </c>
      <c r="L28" s="1363">
        <f t="shared" si="7"/>
        <v>0</v>
      </c>
      <c r="M28" s="1363">
        <f t="shared" si="8"/>
        <v>0</v>
      </c>
      <c r="N28" s="1439"/>
    </row>
    <row r="29" spans="1:14" s="53" customFormat="1" ht="22.5" x14ac:dyDescent="0.3">
      <c r="A29" s="111"/>
      <c r="B29" s="1349" t="s">
        <v>92</v>
      </c>
      <c r="C29" s="1367">
        <f>C11+C12+C16+C23+C25</f>
        <v>0</v>
      </c>
      <c r="D29" s="1368">
        <f>D11+D12+D16+D23+D25</f>
        <v>82</v>
      </c>
      <c r="E29" s="1368">
        <f t="shared" ref="E29" si="9">E11+E12+E16+E23+E25</f>
        <v>82</v>
      </c>
      <c r="F29" s="1369">
        <f>E29/D29%</f>
        <v>100</v>
      </c>
      <c r="G29" s="1370">
        <f>G11+G12+G16+G23+G25</f>
        <v>250</v>
      </c>
      <c r="H29" s="1368">
        <f t="shared" ref="H29:I29" si="10">H11+H12+H16+H23+H25</f>
        <v>272</v>
      </c>
      <c r="I29" s="1368">
        <f t="shared" si="10"/>
        <v>272</v>
      </c>
      <c r="J29" s="2079">
        <f>I29/H29%</f>
        <v>99.999999999999986</v>
      </c>
      <c r="K29" s="1367">
        <f>C29+G29</f>
        <v>250</v>
      </c>
      <c r="L29" s="1368">
        <f t="shared" si="7"/>
        <v>354</v>
      </c>
      <c r="M29" s="1368">
        <f t="shared" si="8"/>
        <v>354</v>
      </c>
      <c r="N29" s="1369">
        <f>M29/L29%</f>
        <v>100</v>
      </c>
    </row>
    <row r="30" spans="1:14" ht="22.5" x14ac:dyDescent="0.3">
      <c r="A30" s="111"/>
      <c r="B30" s="1349" t="s">
        <v>93</v>
      </c>
      <c r="C30" s="1367">
        <f>C24+C28</f>
        <v>0</v>
      </c>
      <c r="D30" s="1368">
        <f t="shared" ref="D30:E30" si="11">D24+D28</f>
        <v>0</v>
      </c>
      <c r="E30" s="1368">
        <f t="shared" si="11"/>
        <v>0</v>
      </c>
      <c r="F30" s="1440"/>
      <c r="G30" s="1370">
        <f>G24+G28</f>
        <v>0</v>
      </c>
      <c r="H30" s="1368">
        <f t="shared" ref="H30:I30" si="12">H24+H28</f>
        <v>0</v>
      </c>
      <c r="I30" s="1368">
        <f t="shared" si="12"/>
        <v>0</v>
      </c>
      <c r="J30" s="1371"/>
      <c r="K30" s="1367">
        <f t="shared" ref="K30:K40" si="13">C30+G30</f>
        <v>0</v>
      </c>
      <c r="L30" s="1368">
        <f t="shared" si="7"/>
        <v>0</v>
      </c>
      <c r="M30" s="1368">
        <f t="shared" si="8"/>
        <v>0</v>
      </c>
      <c r="N30" s="1440"/>
    </row>
    <row r="31" spans="1:14" ht="22.5" x14ac:dyDescent="0.3">
      <c r="A31" s="106" t="s">
        <v>421</v>
      </c>
      <c r="B31" s="1350" t="s">
        <v>420</v>
      </c>
      <c r="C31" s="1372">
        <f>SUM(C29:C30)</f>
        <v>0</v>
      </c>
      <c r="D31" s="1373">
        <f t="shared" ref="D31:E31" si="14">SUM(D29:D30)</f>
        <v>82</v>
      </c>
      <c r="E31" s="1373">
        <f t="shared" si="14"/>
        <v>82</v>
      </c>
      <c r="F31" s="1374">
        <f>E31/D31%</f>
        <v>100</v>
      </c>
      <c r="G31" s="1375">
        <f>SUM(G29:G30)</f>
        <v>250</v>
      </c>
      <c r="H31" s="1373">
        <f t="shared" ref="H31:I31" si="15">SUM(H29:H30)</f>
        <v>272</v>
      </c>
      <c r="I31" s="1373">
        <f t="shared" si="15"/>
        <v>272</v>
      </c>
      <c r="J31" s="2080">
        <f>I31/H31%</f>
        <v>99.999999999999986</v>
      </c>
      <c r="K31" s="1372">
        <f t="shared" si="13"/>
        <v>250</v>
      </c>
      <c r="L31" s="1373">
        <f t="shared" si="7"/>
        <v>354</v>
      </c>
      <c r="M31" s="1373">
        <f t="shared" si="8"/>
        <v>354</v>
      </c>
      <c r="N31" s="1374">
        <f>M31/L31%</f>
        <v>100</v>
      </c>
    </row>
    <row r="32" spans="1:14" ht="23.25" x14ac:dyDescent="0.35">
      <c r="A32" s="112"/>
      <c r="B32" s="1351" t="s">
        <v>422</v>
      </c>
      <c r="C32" s="1377">
        <f>C29-C60</f>
        <v>-163397</v>
      </c>
      <c r="D32" s="1378">
        <f t="shared" ref="D32:E32" si="16">D29-D60</f>
        <v>-165317</v>
      </c>
      <c r="E32" s="1378">
        <f t="shared" si="16"/>
        <v>-151235</v>
      </c>
      <c r="F32" s="1379"/>
      <c r="G32" s="1380">
        <f>G29-G60</f>
        <v>0</v>
      </c>
      <c r="H32" s="1378">
        <f t="shared" ref="H32:I32" si="17">H29-H60</f>
        <v>0</v>
      </c>
      <c r="I32" s="1378">
        <f t="shared" si="17"/>
        <v>0</v>
      </c>
      <c r="J32" s="1381"/>
      <c r="K32" s="1377">
        <f t="shared" si="13"/>
        <v>-163397</v>
      </c>
      <c r="L32" s="1378">
        <f t="shared" si="7"/>
        <v>-165317</v>
      </c>
      <c r="M32" s="1378">
        <f t="shared" si="8"/>
        <v>-151235</v>
      </c>
      <c r="N32" s="1379"/>
    </row>
    <row r="33" spans="1:14" ht="23.25" x14ac:dyDescent="0.35">
      <c r="A33" s="112"/>
      <c r="B33" s="1351" t="s">
        <v>423</v>
      </c>
      <c r="C33" s="1377">
        <f>C30-C61</f>
        <v>-1153</v>
      </c>
      <c r="D33" s="1378">
        <f t="shared" ref="D33:E33" si="18">D30-D61</f>
        <v>-1243</v>
      </c>
      <c r="E33" s="1378">
        <f t="shared" si="18"/>
        <v>-1242</v>
      </c>
      <c r="F33" s="1379"/>
      <c r="G33" s="1380">
        <f>G30-G61</f>
        <v>0</v>
      </c>
      <c r="H33" s="1378">
        <f t="shared" ref="H33:I33" si="19">H30-H61</f>
        <v>0</v>
      </c>
      <c r="I33" s="1378">
        <f t="shared" si="19"/>
        <v>0</v>
      </c>
      <c r="J33" s="1381"/>
      <c r="K33" s="1377">
        <f t="shared" si="13"/>
        <v>-1153</v>
      </c>
      <c r="L33" s="1378">
        <f t="shared" si="7"/>
        <v>-1243</v>
      </c>
      <c r="M33" s="1378">
        <f t="shared" si="8"/>
        <v>-1242</v>
      </c>
      <c r="N33" s="1379"/>
    </row>
    <row r="34" spans="1:14" ht="23.25" x14ac:dyDescent="0.35">
      <c r="A34" s="107" t="s">
        <v>427</v>
      </c>
      <c r="B34" s="1347" t="s">
        <v>426</v>
      </c>
      <c r="C34" s="1357"/>
      <c r="D34" s="1358"/>
      <c r="E34" s="1358"/>
      <c r="F34" s="1382"/>
      <c r="G34" s="1360"/>
      <c r="H34" s="1358"/>
      <c r="I34" s="1358"/>
      <c r="J34" s="1361"/>
      <c r="K34" s="1357">
        <f t="shared" si="13"/>
        <v>0</v>
      </c>
      <c r="L34" s="1358">
        <f t="shared" si="7"/>
        <v>0</v>
      </c>
      <c r="M34" s="1358">
        <f t="shared" si="8"/>
        <v>0</v>
      </c>
      <c r="N34" s="1382"/>
    </row>
    <row r="35" spans="1:14" ht="46.5" x14ac:dyDescent="0.35">
      <c r="A35" s="107" t="s">
        <v>429</v>
      </c>
      <c r="B35" s="1344" t="s">
        <v>428</v>
      </c>
      <c r="C35" s="1357"/>
      <c r="D35" s="1358">
        <f>'3. Gesz költségvetés'!E30</f>
        <v>986</v>
      </c>
      <c r="E35" s="1358">
        <f>'3. Gesz költségvetés'!F30</f>
        <v>986</v>
      </c>
      <c r="F35" s="1359">
        <f>E35/D35%</f>
        <v>100</v>
      </c>
      <c r="G35" s="1360"/>
      <c r="H35" s="1358"/>
      <c r="I35" s="1358"/>
      <c r="J35" s="1361"/>
      <c r="K35" s="1357">
        <f t="shared" ref="K35:K38" si="20">C35+G35</f>
        <v>0</v>
      </c>
      <c r="L35" s="1358">
        <f t="shared" ref="L35:L40" si="21">D35+H35</f>
        <v>986</v>
      </c>
      <c r="M35" s="1358">
        <f t="shared" ref="M35:M40" si="22">E35+I35</f>
        <v>986</v>
      </c>
      <c r="N35" s="1359">
        <f>M35/L35%</f>
        <v>100</v>
      </c>
    </row>
    <row r="36" spans="1:14" ht="46.5" x14ac:dyDescent="0.35">
      <c r="A36" s="107" t="s">
        <v>429</v>
      </c>
      <c r="B36" s="1344" t="s">
        <v>430</v>
      </c>
      <c r="C36" s="1357"/>
      <c r="D36" s="1358"/>
      <c r="E36" s="1358"/>
      <c r="F36" s="1359"/>
      <c r="G36" s="1360"/>
      <c r="H36" s="1358"/>
      <c r="I36" s="1358"/>
      <c r="J36" s="1361"/>
      <c r="K36" s="1357">
        <f t="shared" si="20"/>
        <v>0</v>
      </c>
      <c r="L36" s="1358">
        <f t="shared" si="21"/>
        <v>0</v>
      </c>
      <c r="M36" s="1358">
        <f t="shared" si="22"/>
        <v>0</v>
      </c>
      <c r="N36" s="1359"/>
    </row>
    <row r="37" spans="1:14" s="53" customFormat="1" ht="22.5" x14ac:dyDescent="0.3">
      <c r="A37" s="2076" t="s">
        <v>432</v>
      </c>
      <c r="B37" s="1345" t="s">
        <v>431</v>
      </c>
      <c r="C37" s="1362"/>
      <c r="D37" s="1363">
        <f>SUM(D35:D36)</f>
        <v>986</v>
      </c>
      <c r="E37" s="1363">
        <f>SUM(E35:E36)</f>
        <v>986</v>
      </c>
      <c r="F37" s="1364">
        <f>E37/D37%</f>
        <v>100</v>
      </c>
      <c r="G37" s="1365"/>
      <c r="H37" s="1363"/>
      <c r="I37" s="1363"/>
      <c r="J37" s="1366"/>
      <c r="K37" s="1362">
        <f t="shared" si="20"/>
        <v>0</v>
      </c>
      <c r="L37" s="1363">
        <f t="shared" si="21"/>
        <v>986</v>
      </c>
      <c r="M37" s="1363">
        <f t="shared" si="22"/>
        <v>986</v>
      </c>
      <c r="N37" s="1364">
        <f>M37/L37%</f>
        <v>100</v>
      </c>
    </row>
    <row r="38" spans="1:14" ht="23.25" x14ac:dyDescent="0.35">
      <c r="A38" s="107" t="s">
        <v>434</v>
      </c>
      <c r="B38" s="1344" t="s">
        <v>433</v>
      </c>
      <c r="C38" s="1357">
        <v>164550</v>
      </c>
      <c r="D38" s="1358">
        <f>'3. Gesz költségvetés'!E33</f>
        <v>165574</v>
      </c>
      <c r="E38" s="1358">
        <f>'3. Gesz költségvetés'!F33</f>
        <v>151822</v>
      </c>
      <c r="F38" s="1359">
        <f>E38/D38%</f>
        <v>91.694348146448107</v>
      </c>
      <c r="G38" s="1360"/>
      <c r="H38" s="1358"/>
      <c r="I38" s="1358"/>
      <c r="J38" s="1361"/>
      <c r="K38" s="1357">
        <f t="shared" si="20"/>
        <v>164550</v>
      </c>
      <c r="L38" s="1358">
        <f t="shared" si="21"/>
        <v>165574</v>
      </c>
      <c r="M38" s="1358">
        <f t="shared" si="22"/>
        <v>151822</v>
      </c>
      <c r="N38" s="1359">
        <f>M38/L38%</f>
        <v>91.694348146448107</v>
      </c>
    </row>
    <row r="39" spans="1:14" ht="22.5" x14ac:dyDescent="0.3">
      <c r="A39" s="116" t="s">
        <v>442</v>
      </c>
      <c r="B39" s="1352" t="s">
        <v>441</v>
      </c>
      <c r="C39" s="1372">
        <f>SUM(C34:C38)</f>
        <v>164550</v>
      </c>
      <c r="D39" s="1373">
        <f>SUM(D37:D38)</f>
        <v>166560</v>
      </c>
      <c r="E39" s="1373">
        <f>SUM(E37:E38)</f>
        <v>152808</v>
      </c>
      <c r="F39" s="1374">
        <f>E39/D39%</f>
        <v>91.743515850144092</v>
      </c>
      <c r="G39" s="1375">
        <f>SUM(G34:G38)</f>
        <v>0</v>
      </c>
      <c r="H39" s="1373">
        <f t="shared" ref="H39:I39" si="23">SUM(H34:H38)</f>
        <v>0</v>
      </c>
      <c r="I39" s="1373">
        <f t="shared" si="23"/>
        <v>0</v>
      </c>
      <c r="J39" s="1376"/>
      <c r="K39" s="1372">
        <f t="shared" si="13"/>
        <v>164550</v>
      </c>
      <c r="L39" s="1373">
        <f t="shared" si="21"/>
        <v>166560</v>
      </c>
      <c r="M39" s="1373">
        <f t="shared" si="22"/>
        <v>152808</v>
      </c>
      <c r="N39" s="1374">
        <f>M39/L39%</f>
        <v>91.743515850144092</v>
      </c>
    </row>
    <row r="40" spans="1:14" ht="23.25" thickBot="1" x14ac:dyDescent="0.35">
      <c r="A40" s="118"/>
      <c r="B40" s="1353" t="s">
        <v>356</v>
      </c>
      <c r="C40" s="1383">
        <f>C31+C38</f>
        <v>164550</v>
      </c>
      <c r="D40" s="1384">
        <f>D31+D39</f>
        <v>166642</v>
      </c>
      <c r="E40" s="1384">
        <f>E31+E39</f>
        <v>152890</v>
      </c>
      <c r="F40" s="1385">
        <f>E40/D40%</f>
        <v>91.747578641638952</v>
      </c>
      <c r="G40" s="1386">
        <f>G31+G38</f>
        <v>250</v>
      </c>
      <c r="H40" s="1384">
        <f t="shared" ref="H40:I40" si="24">H31+H38</f>
        <v>272</v>
      </c>
      <c r="I40" s="1384">
        <f t="shared" si="24"/>
        <v>272</v>
      </c>
      <c r="J40" s="2081">
        <f>I40/H40%</f>
        <v>99.999999999999986</v>
      </c>
      <c r="K40" s="1383">
        <f t="shared" si="13"/>
        <v>164800</v>
      </c>
      <c r="L40" s="1384">
        <f t="shared" si="21"/>
        <v>166914</v>
      </c>
      <c r="M40" s="1384">
        <f t="shared" si="22"/>
        <v>153162</v>
      </c>
      <c r="N40" s="1385">
        <f>M40/L40%</f>
        <v>91.76102663647147</v>
      </c>
    </row>
    <row r="41" spans="1:14" ht="17.25" thickBot="1" x14ac:dyDescent="0.3">
      <c r="A41" s="1143"/>
      <c r="B41" s="1143"/>
      <c r="C41" s="1143"/>
      <c r="D41" s="1143"/>
      <c r="E41" s="1143"/>
      <c r="F41" s="1143"/>
      <c r="G41" s="1143"/>
      <c r="H41" s="1143"/>
      <c r="I41" s="1143"/>
      <c r="J41" s="1143"/>
      <c r="K41" s="1143"/>
      <c r="L41" s="957"/>
      <c r="M41" s="957"/>
      <c r="N41" s="957"/>
    </row>
    <row r="42" spans="1:14" s="855" customFormat="1" ht="23.25" x14ac:dyDescent="0.35">
      <c r="A42" s="2419" t="s">
        <v>364</v>
      </c>
      <c r="B42" s="2444" t="s">
        <v>804</v>
      </c>
      <c r="C42" s="2446" t="s">
        <v>152</v>
      </c>
      <c r="D42" s="2447"/>
      <c r="E42" s="2447"/>
      <c r="F42" s="2448"/>
      <c r="G42" s="2449" t="s">
        <v>1107</v>
      </c>
      <c r="H42" s="2447"/>
      <c r="I42" s="2447"/>
      <c r="J42" s="2450"/>
      <c r="K42" s="2446" t="s">
        <v>444</v>
      </c>
      <c r="L42" s="2447"/>
      <c r="M42" s="2447"/>
      <c r="N42" s="2448"/>
    </row>
    <row r="43" spans="1:14" s="855" customFormat="1" ht="121.5" x14ac:dyDescent="0.3">
      <c r="A43" s="2431"/>
      <c r="B43" s="2445" t="s">
        <v>799</v>
      </c>
      <c r="C43" s="1317" t="s">
        <v>1101</v>
      </c>
      <c r="D43" s="1318" t="s">
        <v>1102</v>
      </c>
      <c r="E43" s="1318" t="s">
        <v>1103</v>
      </c>
      <c r="F43" s="1319" t="s">
        <v>1084</v>
      </c>
      <c r="G43" s="1320" t="s">
        <v>1104</v>
      </c>
      <c r="H43" s="1318" t="s">
        <v>1105</v>
      </c>
      <c r="I43" s="1318" t="s">
        <v>1106</v>
      </c>
      <c r="J43" s="1321" t="s">
        <v>1084</v>
      </c>
      <c r="K43" s="2162" t="s">
        <v>1007</v>
      </c>
      <c r="L43" s="1318" t="s">
        <v>1069</v>
      </c>
      <c r="M43" s="1318" t="s">
        <v>1108</v>
      </c>
      <c r="N43" s="1319" t="s">
        <v>1084</v>
      </c>
    </row>
    <row r="44" spans="1:14" ht="23.25" x14ac:dyDescent="0.35">
      <c r="A44" s="102" t="s">
        <v>288</v>
      </c>
      <c r="B44" s="1354" t="s">
        <v>289</v>
      </c>
      <c r="C44" s="1357">
        <v>122477</v>
      </c>
      <c r="D44" s="1358">
        <f>'3. Gesz költségvetés'!E39</f>
        <v>123271</v>
      </c>
      <c r="E44" s="1358">
        <f>'3. Gesz költségvetés'!F39</f>
        <v>113296</v>
      </c>
      <c r="F44" s="1359">
        <f>E44/D44%</f>
        <v>91.908072458242401</v>
      </c>
      <c r="G44" s="1360"/>
      <c r="H44" s="1358"/>
      <c r="I44" s="1358"/>
      <c r="J44" s="1361"/>
      <c r="K44" s="1357">
        <f t="shared" ref="K44:M46" si="25">C44+G44</f>
        <v>122477</v>
      </c>
      <c r="L44" s="1358">
        <f t="shared" si="25"/>
        <v>123271</v>
      </c>
      <c r="M44" s="1358">
        <f t="shared" si="25"/>
        <v>113296</v>
      </c>
      <c r="N44" s="1359">
        <f>M44/L44%</f>
        <v>91.908072458242401</v>
      </c>
    </row>
    <row r="45" spans="1:14" ht="46.5" x14ac:dyDescent="0.35">
      <c r="A45" s="102" t="s">
        <v>290</v>
      </c>
      <c r="B45" s="1344" t="s">
        <v>291</v>
      </c>
      <c r="C45" s="1357">
        <v>28662</v>
      </c>
      <c r="D45" s="1358">
        <f>'3. Gesz költségvetés'!E40</f>
        <v>28815</v>
      </c>
      <c r="E45" s="1358">
        <f>'3. Gesz költségvetés'!F40</f>
        <v>25834</v>
      </c>
      <c r="F45" s="1359">
        <f t="shared" ref="F45:F46" si="26">E45/D45%</f>
        <v>89.654693735901446</v>
      </c>
      <c r="G45" s="1360"/>
      <c r="H45" s="1358"/>
      <c r="I45" s="1358"/>
      <c r="J45" s="1361"/>
      <c r="K45" s="1357">
        <f t="shared" si="25"/>
        <v>28662</v>
      </c>
      <c r="L45" s="1358">
        <f t="shared" si="25"/>
        <v>28815</v>
      </c>
      <c r="M45" s="1358">
        <f t="shared" si="25"/>
        <v>25834</v>
      </c>
      <c r="N45" s="1359">
        <f>M45/L45%</f>
        <v>89.654693735901446</v>
      </c>
    </row>
    <row r="46" spans="1:14" ht="23.25" x14ac:dyDescent="0.35">
      <c r="A46" s="102" t="s">
        <v>292</v>
      </c>
      <c r="B46" s="1344" t="s">
        <v>293</v>
      </c>
      <c r="C46" s="1357">
        <v>12258</v>
      </c>
      <c r="D46" s="1358">
        <f>'3. Gesz költségvetés'!E41-H46</f>
        <v>12429</v>
      </c>
      <c r="E46" s="1358">
        <f>'3. Gesz költségvetés'!F41-I46</f>
        <v>11303</v>
      </c>
      <c r="F46" s="1359">
        <f t="shared" si="26"/>
        <v>90.940542280151249</v>
      </c>
      <c r="G46" s="1360">
        <v>250</v>
      </c>
      <c r="H46" s="1390">
        <v>272</v>
      </c>
      <c r="I46" s="1390">
        <v>272</v>
      </c>
      <c r="J46" s="1388">
        <f>I46/H46%</f>
        <v>99.999999999999986</v>
      </c>
      <c r="K46" s="1357">
        <f t="shared" si="25"/>
        <v>12508</v>
      </c>
      <c r="L46" s="1358">
        <f t="shared" si="25"/>
        <v>12701</v>
      </c>
      <c r="M46" s="1358">
        <f t="shared" si="25"/>
        <v>11575</v>
      </c>
      <c r="N46" s="1359">
        <f>M46/L46%</f>
        <v>91.134556334146907</v>
      </c>
    </row>
    <row r="47" spans="1:14" ht="23.25" x14ac:dyDescent="0.35">
      <c r="A47" s="102" t="s">
        <v>294</v>
      </c>
      <c r="B47" s="1347" t="s">
        <v>39</v>
      </c>
      <c r="C47" s="1357"/>
      <c r="D47" s="1358"/>
      <c r="E47" s="1358"/>
      <c r="F47" s="1359"/>
      <c r="G47" s="1360"/>
      <c r="H47" s="1358"/>
      <c r="I47" s="1358"/>
      <c r="J47" s="1361"/>
      <c r="K47" s="1357">
        <f t="shared" ref="K47:M59" si="27">C47+G47</f>
        <v>0</v>
      </c>
      <c r="L47" s="1358">
        <f t="shared" si="27"/>
        <v>0</v>
      </c>
      <c r="M47" s="1358">
        <f>E47+I47</f>
        <v>0</v>
      </c>
      <c r="N47" s="1359"/>
    </row>
    <row r="48" spans="1:14" ht="23.25" x14ac:dyDescent="0.35">
      <c r="A48" s="102" t="s">
        <v>120</v>
      </c>
      <c r="B48" s="1347" t="s">
        <v>121</v>
      </c>
      <c r="C48" s="1357"/>
      <c r="D48" s="1358">
        <f>'3. Gesz költségvetés'!E46</f>
        <v>884</v>
      </c>
      <c r="E48" s="1358">
        <f>'3. Gesz költségvetés'!F46</f>
        <v>884</v>
      </c>
      <c r="F48" s="1359">
        <f>E48/D48%</f>
        <v>100</v>
      </c>
      <c r="G48" s="1360"/>
      <c r="H48" s="1358"/>
      <c r="I48" s="1358"/>
      <c r="J48" s="1361"/>
      <c r="K48" s="1357">
        <f t="shared" ref="K48" si="28">C48+G48</f>
        <v>0</v>
      </c>
      <c r="L48" s="1358">
        <f t="shared" ref="L48" si="29">D48+H48</f>
        <v>884</v>
      </c>
      <c r="M48" s="1358">
        <f>E48+I48</f>
        <v>884</v>
      </c>
      <c r="N48" s="1359">
        <f>M48/L48%</f>
        <v>100</v>
      </c>
    </row>
    <row r="49" spans="1:14" ht="46.5" x14ac:dyDescent="0.35">
      <c r="A49" s="102" t="s">
        <v>295</v>
      </c>
      <c r="B49" s="1404" t="s">
        <v>296</v>
      </c>
      <c r="C49" s="1357"/>
      <c r="D49" s="1358"/>
      <c r="E49" s="1358"/>
      <c r="F49" s="1382"/>
      <c r="G49" s="1360"/>
      <c r="H49" s="1358"/>
      <c r="I49" s="1358"/>
      <c r="J49" s="1361"/>
      <c r="K49" s="1357">
        <f t="shared" si="27"/>
        <v>0</v>
      </c>
      <c r="L49" s="1358">
        <f t="shared" si="27"/>
        <v>0</v>
      </c>
      <c r="M49" s="1358">
        <f t="shared" si="27"/>
        <v>0</v>
      </c>
      <c r="N49" s="1382"/>
    </row>
    <row r="50" spans="1:14" ht="46.5" x14ac:dyDescent="0.35">
      <c r="A50" s="102" t="s">
        <v>298</v>
      </c>
      <c r="B50" s="1404" t="s">
        <v>297</v>
      </c>
      <c r="C50" s="1357"/>
      <c r="D50" s="1358"/>
      <c r="E50" s="1358"/>
      <c r="F50" s="1382"/>
      <c r="G50" s="1360"/>
      <c r="H50" s="1358"/>
      <c r="I50" s="1358"/>
      <c r="J50" s="1361"/>
      <c r="K50" s="1357">
        <f t="shared" si="27"/>
        <v>0</v>
      </c>
      <c r="L50" s="1358">
        <f t="shared" si="27"/>
        <v>0</v>
      </c>
      <c r="M50" s="1358">
        <f t="shared" si="27"/>
        <v>0</v>
      </c>
      <c r="N50" s="1382"/>
    </row>
    <row r="51" spans="1:14" ht="23.25" x14ac:dyDescent="0.35">
      <c r="A51" s="102" t="s">
        <v>785</v>
      </c>
      <c r="B51" s="1405" t="s">
        <v>299</v>
      </c>
      <c r="C51" s="1357"/>
      <c r="D51" s="1358"/>
      <c r="E51" s="1358"/>
      <c r="F51" s="1382"/>
      <c r="G51" s="1360"/>
      <c r="H51" s="1358"/>
      <c r="I51" s="1358"/>
      <c r="J51" s="1361"/>
      <c r="K51" s="1357">
        <f t="shared" si="27"/>
        <v>0</v>
      </c>
      <c r="L51" s="1358">
        <f t="shared" si="27"/>
        <v>0</v>
      </c>
      <c r="M51" s="1358">
        <f t="shared" si="27"/>
        <v>0</v>
      </c>
      <c r="N51" s="1382"/>
    </row>
    <row r="52" spans="1:14" ht="23.25" x14ac:dyDescent="0.35">
      <c r="A52" s="102" t="s">
        <v>785</v>
      </c>
      <c r="B52" s="1405" t="s">
        <v>155</v>
      </c>
      <c r="C52" s="1357"/>
      <c r="D52" s="1358"/>
      <c r="E52" s="1358"/>
      <c r="F52" s="1382"/>
      <c r="G52" s="1360"/>
      <c r="H52" s="1358"/>
      <c r="I52" s="1358"/>
      <c r="J52" s="1361"/>
      <c r="K52" s="1357">
        <f t="shared" si="27"/>
        <v>0</v>
      </c>
      <c r="L52" s="1358">
        <f t="shared" si="27"/>
        <v>0</v>
      </c>
      <c r="M52" s="1358">
        <f t="shared" si="27"/>
        <v>0</v>
      </c>
      <c r="N52" s="1382"/>
    </row>
    <row r="53" spans="1:14" ht="23.25" x14ac:dyDescent="0.35">
      <c r="A53" s="102" t="s">
        <v>785</v>
      </c>
      <c r="B53" s="1405" t="s">
        <v>300</v>
      </c>
      <c r="C53" s="1357"/>
      <c r="D53" s="1358"/>
      <c r="E53" s="1358"/>
      <c r="F53" s="1382"/>
      <c r="G53" s="1360"/>
      <c r="H53" s="1358"/>
      <c r="I53" s="1358"/>
      <c r="J53" s="1361"/>
      <c r="K53" s="1357">
        <f t="shared" si="27"/>
        <v>0</v>
      </c>
      <c r="L53" s="1358">
        <f t="shared" si="27"/>
        <v>0</v>
      </c>
      <c r="M53" s="1358">
        <f t="shared" si="27"/>
        <v>0</v>
      </c>
      <c r="N53" s="1382"/>
    </row>
    <row r="54" spans="1:14" s="53" customFormat="1" ht="22.5" x14ac:dyDescent="0.3">
      <c r="A54" s="1260" t="s">
        <v>301</v>
      </c>
      <c r="B54" s="1348" t="s">
        <v>302</v>
      </c>
      <c r="C54" s="1362"/>
      <c r="D54" s="1363">
        <f>SUM(D48:D53)</f>
        <v>884</v>
      </c>
      <c r="E54" s="1363">
        <f>SUM(E48:E53)</f>
        <v>884</v>
      </c>
      <c r="F54" s="1364">
        <f t="shared" ref="F54:F55" si="30">E54/D54%</f>
        <v>100</v>
      </c>
      <c r="G54" s="1365"/>
      <c r="H54" s="1363"/>
      <c r="I54" s="1363"/>
      <c r="J54" s="1366"/>
      <c r="K54" s="1362">
        <f t="shared" si="27"/>
        <v>0</v>
      </c>
      <c r="L54" s="1363">
        <f t="shared" si="27"/>
        <v>884</v>
      </c>
      <c r="M54" s="1363">
        <f t="shared" si="27"/>
        <v>884</v>
      </c>
      <c r="N54" s="1364">
        <f t="shared" ref="N54:N55" si="31">M54/L54%</f>
        <v>100</v>
      </c>
    </row>
    <row r="55" spans="1:14" ht="23.25" x14ac:dyDescent="0.35">
      <c r="A55" s="102" t="s">
        <v>303</v>
      </c>
      <c r="B55" s="1406" t="s">
        <v>446</v>
      </c>
      <c r="C55" s="1357">
        <v>1153</v>
      </c>
      <c r="D55" s="1358">
        <f>'3. Gesz költségvetés'!E48</f>
        <v>1243</v>
      </c>
      <c r="E55" s="1358">
        <f>'3. Gesz költségvetés'!F48</f>
        <v>1242</v>
      </c>
      <c r="F55" s="1359">
        <f t="shared" si="30"/>
        <v>99.919549477071598</v>
      </c>
      <c r="G55" s="1360"/>
      <c r="H55" s="1358"/>
      <c r="I55" s="1358"/>
      <c r="J55" s="1361"/>
      <c r="K55" s="1357">
        <f t="shared" si="27"/>
        <v>1153</v>
      </c>
      <c r="L55" s="1358">
        <f t="shared" si="27"/>
        <v>1243</v>
      </c>
      <c r="M55" s="1358">
        <f t="shared" si="27"/>
        <v>1242</v>
      </c>
      <c r="N55" s="1359">
        <f t="shared" si="31"/>
        <v>99.919549477071598</v>
      </c>
    </row>
    <row r="56" spans="1:14" ht="23.25" x14ac:dyDescent="0.35">
      <c r="A56" s="102" t="s">
        <v>304</v>
      </c>
      <c r="B56" s="1347" t="s">
        <v>305</v>
      </c>
      <c r="C56" s="1357"/>
      <c r="D56" s="1358"/>
      <c r="E56" s="1358"/>
      <c r="F56" s="1382"/>
      <c r="G56" s="1360"/>
      <c r="H56" s="1358"/>
      <c r="I56" s="1358"/>
      <c r="J56" s="1361"/>
      <c r="K56" s="1357">
        <f t="shared" si="27"/>
        <v>0</v>
      </c>
      <c r="L56" s="1358">
        <f t="shared" si="27"/>
        <v>0</v>
      </c>
      <c r="M56" s="1358">
        <f t="shared" si="27"/>
        <v>0</v>
      </c>
      <c r="N56" s="1382"/>
    </row>
    <row r="57" spans="1:14" ht="46.5" x14ac:dyDescent="0.35">
      <c r="A57" s="102" t="s">
        <v>251</v>
      </c>
      <c r="B57" s="1347" t="s">
        <v>154</v>
      </c>
      <c r="C57" s="1357"/>
      <c r="D57" s="1358"/>
      <c r="E57" s="1358"/>
      <c r="F57" s="1382"/>
      <c r="G57" s="1360"/>
      <c r="H57" s="1358"/>
      <c r="I57" s="1358"/>
      <c r="J57" s="1361"/>
      <c r="K57" s="1357">
        <f t="shared" si="27"/>
        <v>0</v>
      </c>
      <c r="L57" s="1358">
        <f t="shared" si="27"/>
        <v>0</v>
      </c>
      <c r="M57" s="1358">
        <f t="shared" si="27"/>
        <v>0</v>
      </c>
      <c r="N57" s="1382"/>
    </row>
    <row r="58" spans="1:14" ht="46.5" x14ac:dyDescent="0.35">
      <c r="A58" s="102" t="s">
        <v>306</v>
      </c>
      <c r="B58" s="1347" t="s">
        <v>307</v>
      </c>
      <c r="C58" s="1357"/>
      <c r="D58" s="1358"/>
      <c r="E58" s="1358"/>
      <c r="F58" s="1382"/>
      <c r="G58" s="1360"/>
      <c r="H58" s="1358"/>
      <c r="I58" s="1358"/>
      <c r="J58" s="1361"/>
      <c r="K58" s="1357">
        <f t="shared" si="27"/>
        <v>0</v>
      </c>
      <c r="L58" s="1358">
        <f t="shared" si="27"/>
        <v>0</v>
      </c>
      <c r="M58" s="1358">
        <f t="shared" si="27"/>
        <v>0</v>
      </c>
      <c r="N58" s="1382"/>
    </row>
    <row r="59" spans="1:14" ht="23.25" x14ac:dyDescent="0.35">
      <c r="A59" s="102" t="s">
        <v>308</v>
      </c>
      <c r="B59" s="1347" t="s">
        <v>309</v>
      </c>
      <c r="C59" s="1357"/>
      <c r="D59" s="1358"/>
      <c r="E59" s="1358"/>
      <c r="F59" s="1382"/>
      <c r="G59" s="1360"/>
      <c r="H59" s="1358"/>
      <c r="I59" s="1358"/>
      <c r="J59" s="1361"/>
      <c r="K59" s="1357">
        <f t="shared" si="27"/>
        <v>0</v>
      </c>
      <c r="L59" s="1358">
        <f t="shared" si="27"/>
        <v>0</v>
      </c>
      <c r="M59" s="1358">
        <f t="shared" si="27"/>
        <v>0</v>
      </c>
      <c r="N59" s="1382"/>
    </row>
    <row r="60" spans="1:14" ht="23.25" x14ac:dyDescent="0.35">
      <c r="A60" s="117"/>
      <c r="B60" s="1407" t="s">
        <v>324</v>
      </c>
      <c r="C60" s="1814">
        <f>SUM(C44:C54)</f>
        <v>163397</v>
      </c>
      <c r="D60" s="1434">
        <f>D44+D45+D46+D54</f>
        <v>165399</v>
      </c>
      <c r="E60" s="1434">
        <f>E44+E45+E46+E54</f>
        <v>151317</v>
      </c>
      <c r="F60" s="1816">
        <f>E60/D60%</f>
        <v>91.486042841855152</v>
      </c>
      <c r="G60" s="1813">
        <f>SUM(G44:G54)</f>
        <v>250</v>
      </c>
      <c r="H60" s="1434">
        <f t="shared" ref="H60:I60" si="32">SUM(H44:H54)</f>
        <v>272</v>
      </c>
      <c r="I60" s="1434">
        <f t="shared" si="32"/>
        <v>272</v>
      </c>
      <c r="J60" s="2082">
        <f>I60/H60%</f>
        <v>99.999999999999986</v>
      </c>
      <c r="K60" s="1814">
        <f>SUM(K44:K54)</f>
        <v>163647</v>
      </c>
      <c r="L60" s="1434">
        <f>SUM(L44:L53)</f>
        <v>165671</v>
      </c>
      <c r="M60" s="1434">
        <f>SUM(M44:M53)</f>
        <v>151589</v>
      </c>
      <c r="N60" s="1816">
        <f>M60/L60%</f>
        <v>91.500021126207969</v>
      </c>
    </row>
    <row r="61" spans="1:14" ht="23.25" x14ac:dyDescent="0.35">
      <c r="A61" s="117"/>
      <c r="B61" s="1407" t="s">
        <v>325</v>
      </c>
      <c r="C61" s="1814">
        <f>SUM(C55:C59)</f>
        <v>1153</v>
      </c>
      <c r="D61" s="1434">
        <f>SUM(D55:D59)</f>
        <v>1243</v>
      </c>
      <c r="E61" s="1434">
        <f>SUM(E55:E59)</f>
        <v>1242</v>
      </c>
      <c r="F61" s="1816">
        <f>E61/D61%</f>
        <v>99.919549477071598</v>
      </c>
      <c r="G61" s="1813">
        <f>SUM(G55:G59)</f>
        <v>0</v>
      </c>
      <c r="H61" s="1434">
        <f t="shared" ref="H61:I61" si="33">SUM(H55:H59)</f>
        <v>0</v>
      </c>
      <c r="I61" s="1434">
        <f t="shared" si="33"/>
        <v>0</v>
      </c>
      <c r="J61" s="2082"/>
      <c r="K61" s="1814">
        <f>SUM(K55:K59)</f>
        <v>1153</v>
      </c>
      <c r="L61" s="1434">
        <f>SUM(L55:L59)</f>
        <v>1243</v>
      </c>
      <c r="M61" s="1434">
        <f>SUM(M55:M59)</f>
        <v>1242</v>
      </c>
      <c r="N61" s="1816">
        <f>M61/L61%</f>
        <v>99.919549477071598</v>
      </c>
    </row>
    <row r="62" spans="1:14" ht="22.5" x14ac:dyDescent="0.3">
      <c r="A62" s="106" t="s">
        <v>310</v>
      </c>
      <c r="B62" s="1350" t="s">
        <v>311</v>
      </c>
      <c r="C62" s="1372">
        <f>SUM(C60:C61)</f>
        <v>164550</v>
      </c>
      <c r="D62" s="1373">
        <f t="shared" ref="D62:E62" si="34">SUM(D60:D61)</f>
        <v>166642</v>
      </c>
      <c r="E62" s="1373">
        <f t="shared" si="34"/>
        <v>152559</v>
      </c>
      <c r="F62" s="1374">
        <f t="shared" ref="F62" si="35">E62/D62%</f>
        <v>91.548949244488185</v>
      </c>
      <c r="G62" s="1375">
        <f>SUM(G60:G61)</f>
        <v>250</v>
      </c>
      <c r="H62" s="1373">
        <f t="shared" ref="H62:I62" si="36">SUM(H60:H61)</f>
        <v>272</v>
      </c>
      <c r="I62" s="1373">
        <f t="shared" si="36"/>
        <v>272</v>
      </c>
      <c r="J62" s="2080">
        <f t="shared" ref="J62" si="37">I62/H62%</f>
        <v>99.999999999999986</v>
      </c>
      <c r="K62" s="1372">
        <f>SUM(K60:K61)</f>
        <v>164800</v>
      </c>
      <c r="L62" s="1373">
        <f>SUM(L60:L61)</f>
        <v>166914</v>
      </c>
      <c r="M62" s="1373">
        <f>SUM(M60:M61)</f>
        <v>152831</v>
      </c>
      <c r="N62" s="1374">
        <f>M62/L62%</f>
        <v>91.562720922151527</v>
      </c>
    </row>
    <row r="63" spans="1:14" ht="23.25" x14ac:dyDescent="0.2">
      <c r="A63" s="107" t="s">
        <v>312</v>
      </c>
      <c r="B63" s="1347" t="s">
        <v>252</v>
      </c>
      <c r="C63" s="1392"/>
      <c r="D63" s="1393"/>
      <c r="E63" s="1393"/>
      <c r="F63" s="1442"/>
      <c r="G63" s="1395"/>
      <c r="H63" s="1393"/>
      <c r="I63" s="1393"/>
      <c r="J63" s="1396"/>
      <c r="K63" s="1392"/>
      <c r="L63" s="1393"/>
      <c r="M63" s="1393"/>
      <c r="N63" s="1442"/>
    </row>
    <row r="64" spans="1:14" ht="23.25" x14ac:dyDescent="0.2">
      <c r="A64" s="107" t="s">
        <v>326</v>
      </c>
      <c r="B64" s="1347" t="s">
        <v>327</v>
      </c>
      <c r="C64" s="930"/>
      <c r="D64" s="525"/>
      <c r="E64" s="525"/>
      <c r="F64" s="775"/>
      <c r="G64" s="924"/>
      <c r="H64" s="525"/>
      <c r="I64" s="525"/>
      <c r="J64" s="918"/>
      <c r="K64" s="930"/>
      <c r="L64" s="525"/>
      <c r="M64" s="525"/>
      <c r="N64" s="775"/>
    </row>
    <row r="65" spans="1:14" ht="22.5" x14ac:dyDescent="0.3">
      <c r="A65" s="116" t="s">
        <v>322</v>
      </c>
      <c r="B65" s="1352" t="s">
        <v>42</v>
      </c>
      <c r="C65" s="1372">
        <f>SUM(C63:C64)</f>
        <v>0</v>
      </c>
      <c r="D65" s="1373">
        <f t="shared" ref="D65:E65" si="38">SUM(D63:D64)</f>
        <v>0</v>
      </c>
      <c r="E65" s="1373">
        <f t="shared" si="38"/>
        <v>0</v>
      </c>
      <c r="F65" s="1441"/>
      <c r="G65" s="1375">
        <f>SUM(G63:G64)</f>
        <v>0</v>
      </c>
      <c r="H65" s="1373">
        <f t="shared" ref="H65:I65" si="39">SUM(H63:H64)</f>
        <v>0</v>
      </c>
      <c r="I65" s="1373">
        <f t="shared" si="39"/>
        <v>0</v>
      </c>
      <c r="J65" s="1376"/>
      <c r="K65" s="1372">
        <f>SUM(K63:K64)</f>
        <v>0</v>
      </c>
      <c r="L65" s="1373">
        <f>SUM(L63:L64)</f>
        <v>0</v>
      </c>
      <c r="M65" s="1373">
        <f>SUM(M63:M64)</f>
        <v>0</v>
      </c>
      <c r="N65" s="1441"/>
    </row>
    <row r="66" spans="1:14" ht="23.25" thickBot="1" x14ac:dyDescent="0.35">
      <c r="A66" s="118"/>
      <c r="B66" s="1353" t="s">
        <v>346</v>
      </c>
      <c r="C66" s="1383">
        <f>C62+C65</f>
        <v>164550</v>
      </c>
      <c r="D66" s="1384">
        <f t="shared" ref="D66:E66" si="40">D62+D65</f>
        <v>166642</v>
      </c>
      <c r="E66" s="1384">
        <f t="shared" si="40"/>
        <v>152559</v>
      </c>
      <c r="F66" s="1385">
        <f>E66/D66%</f>
        <v>91.548949244488185</v>
      </c>
      <c r="G66" s="1386">
        <f>G62+G65</f>
        <v>250</v>
      </c>
      <c r="H66" s="1384">
        <f t="shared" ref="H66:I66" si="41">H62+H65</f>
        <v>272</v>
      </c>
      <c r="I66" s="1384">
        <f t="shared" si="41"/>
        <v>272</v>
      </c>
      <c r="J66" s="2081">
        <f>I66/H66%</f>
        <v>99.999999999999986</v>
      </c>
      <c r="K66" s="1383">
        <f>K62+K65</f>
        <v>164800</v>
      </c>
      <c r="L66" s="1384">
        <f>L62+L65</f>
        <v>166914</v>
      </c>
      <c r="M66" s="1384">
        <f>M62+M65</f>
        <v>152831</v>
      </c>
      <c r="N66" s="1385">
        <f>M66/L66%</f>
        <v>91.562720922151527</v>
      </c>
    </row>
    <row r="67" spans="1:14" ht="12.75" x14ac:dyDescent="0.2"/>
    <row r="68" spans="1:14" ht="12.75" x14ac:dyDescent="0.2">
      <c r="K68" s="483"/>
      <c r="L68" s="483"/>
      <c r="M68" s="483"/>
      <c r="N68" s="483"/>
    </row>
    <row r="69" spans="1:14" ht="12.75" x14ac:dyDescent="0.2">
      <c r="K69" s="483"/>
      <c r="L69" s="483"/>
      <c r="M69" s="483"/>
      <c r="N69" s="483"/>
    </row>
    <row r="70" spans="1:14" ht="12.75" x14ac:dyDescent="0.2"/>
    <row r="71" spans="1:14" ht="15" customHeight="1" x14ac:dyDescent="0.2">
      <c r="K71" s="483"/>
      <c r="L71" s="483"/>
      <c r="M71" s="483"/>
    </row>
    <row r="72" spans="1:14" ht="15" customHeight="1" x14ac:dyDescent="0.2">
      <c r="M72" s="483"/>
    </row>
  </sheetData>
  <mergeCells count="13">
    <mergeCell ref="A1:N1"/>
    <mergeCell ref="A2:N2"/>
    <mergeCell ref="A4:N4"/>
    <mergeCell ref="A42:A43"/>
    <mergeCell ref="B42:B43"/>
    <mergeCell ref="C42:F42"/>
    <mergeCell ref="G42:J42"/>
    <mergeCell ref="K42:N42"/>
    <mergeCell ref="A7:A8"/>
    <mergeCell ref="B7:B8"/>
    <mergeCell ref="C7:F7"/>
    <mergeCell ref="G7:J7"/>
    <mergeCell ref="K7:N7"/>
  </mergeCells>
  <printOptions horizontalCentered="1"/>
  <pageMargins left="0.31496062992125984" right="0.27559055118110237" top="0.27559055118110237" bottom="0.31496062992125984" header="0.51181102362204722" footer="0.15748031496062992"/>
  <pageSetup paperSize="9" scale="3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43</vt:i4>
      </vt:variant>
      <vt:variant>
        <vt:lpstr>Névvel ellátott tartományok</vt:lpstr>
      </vt:variant>
      <vt:variant>
        <vt:i4>49</vt:i4>
      </vt:variant>
    </vt:vector>
  </HeadingPairs>
  <TitlesOfParts>
    <vt:vector size="92" baseType="lpstr">
      <vt:lpstr>Tartalomjegyzék_2017</vt:lpstr>
      <vt:lpstr>1.Bev_kiad_kiemelt ei</vt:lpstr>
      <vt:lpstr>2.Bevételek_részletes</vt:lpstr>
      <vt:lpstr>2.Kiadások_részletes </vt:lpstr>
      <vt:lpstr>3. Gesz költségvetés</vt:lpstr>
      <vt:lpstr>4. Köt+önk_Önkori</vt:lpstr>
      <vt:lpstr>5. Köt+önk_PH</vt:lpstr>
      <vt:lpstr>6. Köt+önk_Szakorvosi</vt:lpstr>
      <vt:lpstr>7.Ligeti cseperedő Ovi</vt:lpstr>
      <vt:lpstr>8.Német nemzetiségi Ovi</vt:lpstr>
      <vt:lpstr>9.Művészetek Háza</vt:lpstr>
      <vt:lpstr>10.GESZ</vt:lpstr>
      <vt:lpstr>11. Bölcsöde</vt:lpstr>
      <vt:lpstr>13. Költségvetési támogatások</vt:lpstr>
      <vt:lpstr>12. Támogatási bevételek (B (2)</vt:lpstr>
      <vt:lpstr>13. Működési bev. (B3,B4)</vt:lpstr>
      <vt:lpstr>14. Átvett pénze.(B6,B7)</vt:lpstr>
      <vt:lpstr>15. finanszírozás be_ki (B8,K9)</vt:lpstr>
      <vt:lpstr>16. Dologi kiadások cofog(K3)</vt:lpstr>
      <vt:lpstr>19. Dologi kiad.igazg. (K3)</vt:lpstr>
      <vt:lpstr>17. Ellátottak p.jutattás (K4)</vt:lpstr>
      <vt:lpstr>18. Pe. átad. és tám. (K5)</vt:lpstr>
      <vt:lpstr>19. Tartalékok (K512)</vt:lpstr>
      <vt:lpstr>20. Beruházás (K6)</vt:lpstr>
      <vt:lpstr>21. Felújítás (K7)</vt:lpstr>
      <vt:lpstr>22. Több éves elköt. (2)</vt:lpstr>
      <vt:lpstr>25. Több éves elköt.</vt:lpstr>
      <vt:lpstr>23.sz.létszám</vt:lpstr>
      <vt:lpstr>27. ktgv.mérleg</vt:lpstr>
      <vt:lpstr>28.eir.felh.ütemterv</vt:lpstr>
      <vt:lpstr>29.sz.finansz.ütemterv</vt:lpstr>
      <vt:lpstr>24. Immatjavak, tárgyi eszk.</vt:lpstr>
      <vt:lpstr>25. pénzmaradvány kimutatás (2)</vt:lpstr>
      <vt:lpstr>Nem,29.sz.közvetett tám.</vt:lpstr>
      <vt:lpstr>26. egysz mérleg</vt:lpstr>
      <vt:lpstr>27. Mérleg</vt:lpstr>
      <vt:lpstr>28. mérleg nettó értéken</vt:lpstr>
      <vt:lpstr>28. 0-ig leírtak</vt:lpstr>
      <vt:lpstr>Készlet (2)</vt:lpstr>
      <vt:lpstr>29. közvetett tám.</vt:lpstr>
      <vt:lpstr>30. EU projekt </vt:lpstr>
      <vt:lpstr>31.sz.adósságszolgálat</vt:lpstr>
      <vt:lpstr>32. gördülő</vt:lpstr>
      <vt:lpstr>'Nem,29.sz.közvetett tám.'!_ftn1</vt:lpstr>
      <vt:lpstr>'29. közvetett tám.'!_ftnref1</vt:lpstr>
      <vt:lpstr>'Nem,29.sz.közvetett tám.'!_ftnref1</vt:lpstr>
      <vt:lpstr>'22. Több éves elköt. (2)'!_pr236</vt:lpstr>
      <vt:lpstr>'25. Több éves elköt.'!_pr236</vt:lpstr>
      <vt:lpstr>'22. Több éves elköt. (2)'!_pr313</vt:lpstr>
      <vt:lpstr>'25. Több éves elköt.'!_pr313</vt:lpstr>
      <vt:lpstr>'22. Több éves elköt. (2)'!_pr315</vt:lpstr>
      <vt:lpstr>'25. Több éves elköt.'!_pr315</vt:lpstr>
      <vt:lpstr>Tartalomjegyzék_2017!gitta</vt:lpstr>
      <vt:lpstr>'13. Költségvetési támogatások'!Nyomtatási_cím</vt:lpstr>
      <vt:lpstr>'1.Bev_kiad_kiemelt ei'!Nyomtatási_terület</vt:lpstr>
      <vt:lpstr>'10.GESZ'!Nyomtatási_terület</vt:lpstr>
      <vt:lpstr>'11. Bölcsöde'!Nyomtatási_terület</vt:lpstr>
      <vt:lpstr>'12. Támogatási bevételek (B (2)'!Nyomtatási_terület</vt:lpstr>
      <vt:lpstr>'13. Költségvetési támogatások'!Nyomtatási_terület</vt:lpstr>
      <vt:lpstr>'13. Működési bev. (B3,B4)'!Nyomtatási_terület</vt:lpstr>
      <vt:lpstr>'14. Átvett pénze.(B6,B7)'!Nyomtatási_terület</vt:lpstr>
      <vt:lpstr>'15. finanszírozás be_ki (B8,K9)'!Nyomtatási_terület</vt:lpstr>
      <vt:lpstr>'16. Dologi kiadások cofog(K3)'!Nyomtatási_terület</vt:lpstr>
      <vt:lpstr>'17. Ellátottak p.jutattás (K4)'!Nyomtatási_terület</vt:lpstr>
      <vt:lpstr>'18. Pe. átad. és tám. (K5)'!Nyomtatási_terület</vt:lpstr>
      <vt:lpstr>'19. Dologi kiad.igazg. (K3)'!Nyomtatási_terület</vt:lpstr>
      <vt:lpstr>'19. Tartalékok (K512)'!Nyomtatási_terület</vt:lpstr>
      <vt:lpstr>'2.Bevételek_részletes'!Nyomtatási_terület</vt:lpstr>
      <vt:lpstr>'2.Kiadások_részletes '!Nyomtatási_terület</vt:lpstr>
      <vt:lpstr>'20. Beruházás (K6)'!Nyomtatási_terület</vt:lpstr>
      <vt:lpstr>'21. Felújítás (K7)'!Nyomtatási_terület</vt:lpstr>
      <vt:lpstr>'22. Több éves elköt. (2)'!Nyomtatási_terület</vt:lpstr>
      <vt:lpstr>'23.sz.létszám'!Nyomtatási_terület</vt:lpstr>
      <vt:lpstr>'25. pénzmaradvány kimutatás (2)'!Nyomtatási_terület</vt:lpstr>
      <vt:lpstr>'25. Több éves elköt.'!Nyomtatási_terület</vt:lpstr>
      <vt:lpstr>'26. egysz mérleg'!Nyomtatási_terület</vt:lpstr>
      <vt:lpstr>'27. ktgv.mérleg'!Nyomtatási_terület</vt:lpstr>
      <vt:lpstr>'28.eir.felh.ütemterv'!Nyomtatási_terület</vt:lpstr>
      <vt:lpstr>'29. közvetett tám.'!Nyomtatási_terület</vt:lpstr>
      <vt:lpstr>'29.sz.finansz.ütemterv'!Nyomtatási_terület</vt:lpstr>
      <vt:lpstr>'3. Gesz költségvetés'!Nyomtatási_terület</vt:lpstr>
      <vt:lpstr>'30. EU projekt '!Nyomtatási_terület</vt:lpstr>
      <vt:lpstr>'31.sz.adósságszolgálat'!Nyomtatási_terület</vt:lpstr>
      <vt:lpstr>'32. gördülő'!Nyomtatási_terület</vt:lpstr>
      <vt:lpstr>'4. Köt+önk_Önkori'!Nyomtatási_terület</vt:lpstr>
      <vt:lpstr>'5. Köt+önk_PH'!Nyomtatási_terület</vt:lpstr>
      <vt:lpstr>'6. Köt+önk_Szakorvosi'!Nyomtatási_terület</vt:lpstr>
      <vt:lpstr>'7.Ligeti cseperedő Ovi'!Nyomtatási_terület</vt:lpstr>
      <vt:lpstr>'8.Német nemzetiségi Ovi'!Nyomtatási_terület</vt:lpstr>
      <vt:lpstr>'9.Művészetek Háza'!Nyomtatási_terület</vt:lpstr>
      <vt:lpstr>'Nem,29.sz.közvetett tám.'!Nyomtatási_terület</vt:lpstr>
      <vt:lpstr>Tartalomjegyzék_2017!Nyomtatási_terület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felhasznalo</cp:lastModifiedBy>
  <cp:lastPrinted>2018-04-27T09:43:30Z</cp:lastPrinted>
  <dcterms:created xsi:type="dcterms:W3CDTF">2015-01-09T09:03:33Z</dcterms:created>
  <dcterms:modified xsi:type="dcterms:W3CDTF">2018-04-27T10:05:27Z</dcterms:modified>
</cp:coreProperties>
</file>